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mass-my.sharepoint.com/personal/sarahv_umass_edu/Documents/Kuali/Kuali PowerPoints/"/>
    </mc:Choice>
  </mc:AlternateContent>
  <xr:revisionPtr revIDLastSave="18" documentId="8_{EBE6897F-A61B-49D1-A64D-67BF092F061F}" xr6:coauthVersionLast="47" xr6:coauthVersionMax="47" xr10:uidLastSave="{58012732-9692-4E1C-964C-C778AC4BB5A2}"/>
  <workbookProtection workbookAlgorithmName="SHA-512" workbookHashValue="mNiv0DraU/+2YMKZHkhqlZ3MgrY3YBV0eJjCUtGfNQSNx4PWWvJpVdI4q4s1vOAcsMKYYP8feJGwp/4a+jexTA==" workbookSaltValue="l33zQ22hXTBX+071cnOKAg==" workbookSpinCount="100000" lockStructure="1"/>
  <bookViews>
    <workbookView xWindow="45972" yWindow="-108" windowWidth="23256" windowHeight="12456" activeTab="2" xr2:uid="{00000000-000D-0000-FFFF-FFFF00000000}"/>
  </bookViews>
  <sheets>
    <sheet name="Salary Guide " sheetId="1" r:id="rId1"/>
    <sheet name="COLA Array (Salary Guide)" sheetId="8" state="hidden" r:id="rId2"/>
    <sheet name="Grad Calculator" sheetId="4" r:id="rId3"/>
    <sheet name="COLA Array Grad" sheetId="6" state="hidden" r:id="rId4"/>
    <sheet name="NIH Salary Cap" sheetId="5" r:id="rId5"/>
    <sheet name="COLA Array NIH" sheetId="7"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8" l="1"/>
  <c r="I32" i="8"/>
  <c r="I31" i="8"/>
  <c r="I30" i="8"/>
  <c r="I29" i="8"/>
  <c r="I28" i="8"/>
  <c r="I27" i="8"/>
  <c r="I26" i="8"/>
  <c r="I25" i="8"/>
  <c r="I24" i="8"/>
  <c r="I23" i="8"/>
  <c r="I22" i="8"/>
  <c r="N15" i="8"/>
  <c r="O15" i="8" s="1"/>
  <c r="N14" i="8"/>
  <c r="O14" i="8" s="1"/>
  <c r="N13" i="8"/>
  <c r="O13" i="8" s="1"/>
  <c r="N12" i="8"/>
  <c r="N11" i="8"/>
  <c r="N10" i="8"/>
  <c r="N9" i="8"/>
  <c r="N8" i="8"/>
  <c r="N7" i="8"/>
  <c r="N6" i="8"/>
  <c r="N5" i="8"/>
  <c r="O5" i="8" s="1"/>
  <c r="N4" i="8"/>
  <c r="K15" i="8"/>
  <c r="K14" i="8"/>
  <c r="K13" i="8"/>
  <c r="K12" i="8"/>
  <c r="K11" i="8"/>
  <c r="K10" i="8"/>
  <c r="K9" i="8"/>
  <c r="K8" i="8"/>
  <c r="K7" i="8"/>
  <c r="K6" i="8"/>
  <c r="K5" i="8"/>
  <c r="K4" i="8"/>
  <c r="H33" i="8"/>
  <c r="E33" i="8"/>
  <c r="H32" i="8"/>
  <c r="E32" i="8"/>
  <c r="H31" i="8"/>
  <c r="E31" i="8"/>
  <c r="H30" i="8"/>
  <c r="E30" i="8"/>
  <c r="H29" i="8"/>
  <c r="E29" i="8"/>
  <c r="H28" i="8"/>
  <c r="E28" i="8"/>
  <c r="H27" i="8"/>
  <c r="E27" i="8"/>
  <c r="H26" i="8"/>
  <c r="E26" i="8"/>
  <c r="H25" i="8"/>
  <c r="E25" i="8"/>
  <c r="H24" i="8"/>
  <c r="E24" i="8"/>
  <c r="H23" i="8"/>
  <c r="E23" i="8"/>
  <c r="H22" i="8"/>
  <c r="E22" i="8"/>
  <c r="E34" i="8" s="1"/>
  <c r="J15" i="8"/>
  <c r="H15" i="8"/>
  <c r="E15" i="8"/>
  <c r="J14" i="8"/>
  <c r="H14" i="8"/>
  <c r="E14" i="8"/>
  <c r="J13" i="8"/>
  <c r="H13" i="8"/>
  <c r="E13" i="8"/>
  <c r="O12" i="8"/>
  <c r="J12" i="8"/>
  <c r="H12" i="8"/>
  <c r="E12" i="8"/>
  <c r="O11" i="8"/>
  <c r="J11" i="8"/>
  <c r="H11" i="8"/>
  <c r="E11" i="8"/>
  <c r="O10" i="8"/>
  <c r="J10" i="8"/>
  <c r="H10" i="8"/>
  <c r="E10" i="8"/>
  <c r="O9" i="8"/>
  <c r="J9" i="8"/>
  <c r="I9" i="8"/>
  <c r="H9" i="8"/>
  <c r="E9" i="8"/>
  <c r="O8" i="8"/>
  <c r="J8" i="8"/>
  <c r="H8" i="8"/>
  <c r="E8" i="8"/>
  <c r="O7" i="8"/>
  <c r="J7" i="8"/>
  <c r="H7" i="8"/>
  <c r="E7" i="8"/>
  <c r="O6" i="8"/>
  <c r="J6" i="8"/>
  <c r="I6" i="8"/>
  <c r="H6" i="8"/>
  <c r="E6" i="8"/>
  <c r="J5" i="8"/>
  <c r="I5" i="8"/>
  <c r="E5" i="8"/>
  <c r="H5" i="8" s="1"/>
  <c r="J4" i="8"/>
  <c r="E4" i="8"/>
  <c r="E18" i="8" s="1"/>
  <c r="K2" i="8"/>
  <c r="F22" i="8" l="1"/>
  <c r="I10" i="8"/>
  <c r="I7" i="8"/>
  <c r="H4" i="8"/>
  <c r="O4" i="8" s="1"/>
  <c r="I8" i="8"/>
  <c r="I12" i="8"/>
  <c r="I11" i="8"/>
  <c r="I13" i="8"/>
  <c r="I14" i="8"/>
  <c r="E16" i="8"/>
  <c r="E17" i="8" s="1"/>
  <c r="I15" i="8"/>
  <c r="B30" i="1"/>
  <c r="B29" i="1"/>
  <c r="D28" i="1"/>
  <c r="C28" i="1"/>
  <c r="B28" i="1"/>
  <c r="I3" i="1"/>
  <c r="H3" i="1"/>
  <c r="G3" i="1"/>
  <c r="B39" i="5"/>
  <c r="H3" i="5"/>
  <c r="J33" i="7"/>
  <c r="J32" i="7"/>
  <c r="J31" i="7"/>
  <c r="J30" i="7"/>
  <c r="J29" i="7"/>
  <c r="J28" i="7"/>
  <c r="J27" i="7"/>
  <c r="J26" i="7"/>
  <c r="J25" i="7"/>
  <c r="J24" i="7"/>
  <c r="J23" i="7"/>
  <c r="J22" i="7"/>
  <c r="F24" i="7"/>
  <c r="G24" i="7" s="1"/>
  <c r="F23" i="7"/>
  <c r="G23" i="7" s="1"/>
  <c r="G22" i="7"/>
  <c r="F22" i="7"/>
  <c r="I33" i="7"/>
  <c r="H33" i="7"/>
  <c r="I32" i="7"/>
  <c r="H32" i="7"/>
  <c r="I31" i="7"/>
  <c r="H31" i="7"/>
  <c r="I30" i="7"/>
  <c r="H30" i="7"/>
  <c r="I29" i="7"/>
  <c r="H29" i="7"/>
  <c r="I28" i="7"/>
  <c r="H28" i="7"/>
  <c r="I27" i="7"/>
  <c r="H27" i="7"/>
  <c r="I26" i="7"/>
  <c r="H26" i="7"/>
  <c r="I25" i="7"/>
  <c r="H25" i="7"/>
  <c r="I24" i="7"/>
  <c r="H24" i="7"/>
  <c r="I23" i="7"/>
  <c r="H23" i="7"/>
  <c r="I22" i="7"/>
  <c r="H22" i="7"/>
  <c r="E33" i="7"/>
  <c r="E32" i="7"/>
  <c r="E31" i="7"/>
  <c r="E30" i="7"/>
  <c r="E29" i="7"/>
  <c r="E28" i="7"/>
  <c r="E27" i="7"/>
  <c r="E26" i="7"/>
  <c r="E25" i="7"/>
  <c r="E24" i="7"/>
  <c r="E34" i="7" s="1"/>
  <c r="E23" i="7"/>
  <c r="E22" i="7"/>
  <c r="N15" i="7"/>
  <c r="N14" i="7"/>
  <c r="O14" i="7" s="1"/>
  <c r="N13" i="7"/>
  <c r="O13" i="7" s="1"/>
  <c r="N12" i="7"/>
  <c r="O12" i="7" s="1"/>
  <c r="N11" i="7"/>
  <c r="N10" i="7"/>
  <c r="N9" i="7"/>
  <c r="N8" i="7"/>
  <c r="O8" i="7" s="1"/>
  <c r="N7" i="7"/>
  <c r="N6" i="7"/>
  <c r="O6" i="7" s="1"/>
  <c r="N5" i="7"/>
  <c r="O5" i="7" s="1"/>
  <c r="N4" i="7"/>
  <c r="K15" i="7"/>
  <c r="K14" i="7"/>
  <c r="K13" i="7"/>
  <c r="K12" i="7"/>
  <c r="K11" i="7"/>
  <c r="K10" i="7"/>
  <c r="K9" i="7"/>
  <c r="K8" i="7"/>
  <c r="K7" i="7"/>
  <c r="K6" i="7"/>
  <c r="K5" i="7"/>
  <c r="K4" i="7"/>
  <c r="G3" i="5"/>
  <c r="B25" i="5" s="1"/>
  <c r="O15" i="7"/>
  <c r="J15" i="7"/>
  <c r="E15" i="7"/>
  <c r="H15" i="7" s="1"/>
  <c r="J14" i="7"/>
  <c r="E14" i="7"/>
  <c r="J13" i="7"/>
  <c r="E13" i="7"/>
  <c r="J12" i="7"/>
  <c r="E12" i="7"/>
  <c r="O11" i="7"/>
  <c r="J11" i="7"/>
  <c r="E11" i="7"/>
  <c r="O10" i="7"/>
  <c r="J10" i="7"/>
  <c r="E10" i="7"/>
  <c r="O9" i="7"/>
  <c r="J9" i="7"/>
  <c r="I9" i="7"/>
  <c r="E9" i="7"/>
  <c r="J8" i="7"/>
  <c r="E8" i="7"/>
  <c r="O7" i="7"/>
  <c r="J7" i="7"/>
  <c r="E7" i="7"/>
  <c r="J6" i="7"/>
  <c r="E6" i="7"/>
  <c r="J5" i="7"/>
  <c r="I5" i="7"/>
  <c r="E5" i="7"/>
  <c r="I7" i="7" s="1"/>
  <c r="J4" i="7"/>
  <c r="E4" i="7"/>
  <c r="E18" i="7" s="1"/>
  <c r="K2" i="7"/>
  <c r="H4" i="6"/>
  <c r="N6" i="6"/>
  <c r="O6" i="6" s="1"/>
  <c r="E18" i="6"/>
  <c r="F5" i="8" l="1"/>
  <c r="F4" i="8"/>
  <c r="F7" i="8"/>
  <c r="F6" i="8"/>
  <c r="G5" i="8"/>
  <c r="G6" i="8"/>
  <c r="F23" i="8"/>
  <c r="G22" i="8"/>
  <c r="J22" i="8" s="1"/>
  <c r="C30" i="1"/>
  <c r="D30" i="1" s="1"/>
  <c r="F25" i="7"/>
  <c r="I11" i="7"/>
  <c r="H8" i="7"/>
  <c r="H12" i="7"/>
  <c r="H4" i="7"/>
  <c r="O4" i="7" s="1"/>
  <c r="I8" i="7"/>
  <c r="I12" i="7"/>
  <c r="H5" i="7"/>
  <c r="H9" i="7"/>
  <c r="H13" i="7"/>
  <c r="I13" i="7"/>
  <c r="H6" i="7"/>
  <c r="H10" i="7"/>
  <c r="H14" i="7"/>
  <c r="I6" i="7"/>
  <c r="I10" i="7"/>
  <c r="I14" i="7"/>
  <c r="E16" i="7"/>
  <c r="E17" i="7" s="1"/>
  <c r="H7" i="7"/>
  <c r="H11" i="7"/>
  <c r="I15" i="7"/>
  <c r="N15" i="6"/>
  <c r="O15" i="6" s="1"/>
  <c r="N14" i="6"/>
  <c r="O14" i="6" s="1"/>
  <c r="N13" i="6"/>
  <c r="O13" i="6" s="1"/>
  <c r="N12" i="6"/>
  <c r="O12" i="6" s="1"/>
  <c r="N11" i="6"/>
  <c r="O11" i="6" s="1"/>
  <c r="N10" i="6"/>
  <c r="O10" i="6" s="1"/>
  <c r="N9" i="6"/>
  <c r="O9" i="6" s="1"/>
  <c r="N8" i="6"/>
  <c r="O8" i="6" s="1"/>
  <c r="N7" i="6"/>
  <c r="O7" i="6" s="1"/>
  <c r="N5" i="6"/>
  <c r="O5" i="6" s="1"/>
  <c r="N4" i="6"/>
  <c r="O4" i="6" s="1"/>
  <c r="B32" i="4" s="1"/>
  <c r="K15" i="6"/>
  <c r="K14" i="6"/>
  <c r="K13" i="6"/>
  <c r="K12" i="6"/>
  <c r="K11" i="6"/>
  <c r="K10" i="6"/>
  <c r="K9" i="6"/>
  <c r="K8" i="6"/>
  <c r="K7" i="6"/>
  <c r="L7" i="6" s="1"/>
  <c r="K6" i="6"/>
  <c r="L6" i="6" s="1"/>
  <c r="K5" i="6"/>
  <c r="L5" i="6" s="1"/>
  <c r="K4" i="6"/>
  <c r="L4" i="6" s="1"/>
  <c r="B31" i="4" s="1"/>
  <c r="J15" i="6"/>
  <c r="J14" i="6"/>
  <c r="J13" i="6"/>
  <c r="J12" i="6"/>
  <c r="J11" i="6"/>
  <c r="J10" i="6"/>
  <c r="J9" i="6"/>
  <c r="J8" i="6"/>
  <c r="J7" i="6"/>
  <c r="J6" i="6"/>
  <c r="J5" i="6"/>
  <c r="J4" i="6"/>
  <c r="L7" i="8" l="1"/>
  <c r="F8" i="8"/>
  <c r="G7" i="8"/>
  <c r="G4" i="8"/>
  <c r="L4" i="8" s="1"/>
  <c r="L6" i="8"/>
  <c r="F24" i="8"/>
  <c r="G23" i="8"/>
  <c r="J23" i="8" s="1"/>
  <c r="L5" i="8"/>
  <c r="G25" i="7"/>
  <c r="F26" i="7"/>
  <c r="F4" i="7"/>
  <c r="G6" i="7"/>
  <c r="F7" i="7"/>
  <c r="F6" i="7"/>
  <c r="F5" i="7"/>
  <c r="G4" i="7"/>
  <c r="K2" i="6"/>
  <c r="E15" i="6"/>
  <c r="E14" i="6"/>
  <c r="E13" i="6"/>
  <c r="E12" i="6"/>
  <c r="E11" i="6"/>
  <c r="E10" i="6"/>
  <c r="E9" i="6"/>
  <c r="E8" i="6"/>
  <c r="E7" i="6"/>
  <c r="E6" i="6"/>
  <c r="E5" i="6"/>
  <c r="E4" i="6"/>
  <c r="F25" i="8" l="1"/>
  <c r="G24" i="8"/>
  <c r="J24" i="8" s="1"/>
  <c r="F9" i="8"/>
  <c r="G8" i="8"/>
  <c r="L8" i="8" s="1"/>
  <c r="G26" i="7"/>
  <c r="F27" i="7"/>
  <c r="F8" i="7"/>
  <c r="G7" i="7"/>
  <c r="L7" i="7" s="1"/>
  <c r="G5" i="7"/>
  <c r="L5" i="7" s="1"/>
  <c r="L6" i="7"/>
  <c r="L4" i="7"/>
  <c r="H5" i="6"/>
  <c r="E16" i="6"/>
  <c r="E17" i="6" s="1"/>
  <c r="I8" i="6"/>
  <c r="I15" i="6"/>
  <c r="I7" i="6"/>
  <c r="I14" i="6"/>
  <c r="I6" i="6"/>
  <c r="I13" i="6"/>
  <c r="I11" i="6"/>
  <c r="I9" i="6"/>
  <c r="I12" i="6"/>
  <c r="I10" i="6"/>
  <c r="I5" i="6"/>
  <c r="H15" i="6"/>
  <c r="H9" i="6"/>
  <c r="H8" i="6"/>
  <c r="H6" i="6"/>
  <c r="H11" i="6"/>
  <c r="H7" i="6"/>
  <c r="H14" i="6"/>
  <c r="H13" i="6"/>
  <c r="H12" i="6"/>
  <c r="H10" i="6"/>
  <c r="B24" i="4"/>
  <c r="B25" i="4" s="1"/>
  <c r="C39" i="4" s="1"/>
  <c r="F10" i="8" l="1"/>
  <c r="L9" i="8"/>
  <c r="G9" i="8"/>
  <c r="F26" i="8"/>
  <c r="G25" i="8"/>
  <c r="J25" i="8" s="1"/>
  <c r="G27" i="7"/>
  <c r="F28" i="7"/>
  <c r="F9" i="7"/>
  <c r="G8" i="7"/>
  <c r="L8" i="7" s="1"/>
  <c r="F5" i="6"/>
  <c r="F4" i="6"/>
  <c r="F7" i="6"/>
  <c r="F6" i="6"/>
  <c r="G6" i="6"/>
  <c r="G5" i="6"/>
  <c r="C25" i="4"/>
  <c r="F27" i="8" l="1"/>
  <c r="J26" i="8"/>
  <c r="G26" i="8"/>
  <c r="F11" i="8"/>
  <c r="G10" i="8"/>
  <c r="L10" i="8" s="1"/>
  <c r="G28" i="7"/>
  <c r="F29" i="7"/>
  <c r="L9" i="7"/>
  <c r="F10" i="7"/>
  <c r="G9" i="7"/>
  <c r="F8" i="6"/>
  <c r="G7" i="6"/>
  <c r="G4" i="6"/>
  <c r="D25" i="4"/>
  <c r="D39" i="4"/>
  <c r="B6" i="5"/>
  <c r="L11" i="8" l="1"/>
  <c r="F12" i="8"/>
  <c r="G11" i="8"/>
  <c r="F28" i="8"/>
  <c r="G27" i="8"/>
  <c r="J27" i="8" s="1"/>
  <c r="F30" i="7"/>
  <c r="G29" i="7"/>
  <c r="F11" i="7"/>
  <c r="G10" i="7"/>
  <c r="L10" i="7" s="1"/>
  <c r="F3" i="5" s="1"/>
  <c r="B11" i="5" s="1"/>
  <c r="L8" i="6"/>
  <c r="F9" i="6"/>
  <c r="G8" i="6"/>
  <c r="E25" i="4"/>
  <c r="E39" i="4"/>
  <c r="A40" i="5"/>
  <c r="A41" i="5" s="1"/>
  <c r="A42" i="5" s="1"/>
  <c r="A43" i="5" s="1"/>
  <c r="A44" i="5" s="1"/>
  <c r="A45" i="5" s="1"/>
  <c r="A46" i="5" s="1"/>
  <c r="A47" i="5" s="1"/>
  <c r="A48" i="5" s="1"/>
  <c r="F29" i="8" l="1"/>
  <c r="G28" i="8"/>
  <c r="J28" i="8" s="1"/>
  <c r="F13" i="8"/>
  <c r="G12" i="8"/>
  <c r="L12" i="8" s="1"/>
  <c r="G30" i="7"/>
  <c r="F31" i="7"/>
  <c r="F12" i="7"/>
  <c r="G11" i="7"/>
  <c r="L11" i="7" s="1"/>
  <c r="F10" i="6"/>
  <c r="L9" i="6"/>
  <c r="G9" i="6"/>
  <c r="F25" i="4"/>
  <c r="F39" i="4"/>
  <c r="A26" i="5"/>
  <c r="A27" i="5" s="1"/>
  <c r="A28" i="5" s="1"/>
  <c r="A29" i="5" s="1"/>
  <c r="A30" i="5" s="1"/>
  <c r="A31" i="5" s="1"/>
  <c r="A32" i="5" s="1"/>
  <c r="A33" i="5" s="1"/>
  <c r="A34" i="5" s="1"/>
  <c r="A12" i="5"/>
  <c r="A13" i="5" s="1"/>
  <c r="A14" i="5" s="1"/>
  <c r="A15" i="5" s="1"/>
  <c r="A16" i="5" s="1"/>
  <c r="A17" i="5" s="1"/>
  <c r="A18" i="5" s="1"/>
  <c r="A19" i="5" s="1"/>
  <c r="A20" i="5" s="1"/>
  <c r="L13" i="8" l="1"/>
  <c r="F14" i="8"/>
  <c r="G13" i="8"/>
  <c r="F30" i="8"/>
  <c r="G29" i="8"/>
  <c r="J29" i="8" s="1"/>
  <c r="G31" i="7"/>
  <c r="F32" i="7"/>
  <c r="L12" i="7"/>
  <c r="F13" i="7"/>
  <c r="G12" i="7"/>
  <c r="F11" i="6"/>
  <c r="L10" i="6"/>
  <c r="G10" i="6"/>
  <c r="G25" i="4"/>
  <c r="G39" i="4"/>
  <c r="E6" i="5"/>
  <c r="F31" i="8" l="1"/>
  <c r="G30" i="8"/>
  <c r="J30" i="8" s="1"/>
  <c r="F15" i="8"/>
  <c r="G14" i="8"/>
  <c r="L14" i="8" s="1"/>
  <c r="G32" i="7"/>
  <c r="F33" i="7"/>
  <c r="G33" i="7" s="1"/>
  <c r="L13" i="7"/>
  <c r="F14" i="7"/>
  <c r="G13" i="7"/>
  <c r="F12" i="6"/>
  <c r="L11" i="6"/>
  <c r="G11" i="6"/>
  <c r="H25" i="4"/>
  <c r="I39" i="4" s="1"/>
  <c r="H39" i="4"/>
  <c r="E11" i="5"/>
  <c r="B12" i="5"/>
  <c r="E12" i="5" s="1"/>
  <c r="B26" i="5"/>
  <c r="E26" i="5" s="1"/>
  <c r="F26" i="5"/>
  <c r="F25" i="5"/>
  <c r="F27" i="5"/>
  <c r="F11" i="5"/>
  <c r="H11" i="4"/>
  <c r="C33" i="4" s="1"/>
  <c r="D33" i="4" s="1"/>
  <c r="E33" i="4" s="1"/>
  <c r="F33" i="4" s="1"/>
  <c r="G33" i="4" s="1"/>
  <c r="H33" i="4" s="1"/>
  <c r="I33" i="4" s="1"/>
  <c r="H12" i="4"/>
  <c r="E11" i="4"/>
  <c r="G26" i="5" l="1"/>
  <c r="L15" i="8"/>
  <c r="G15" i="8"/>
  <c r="F32" i="8"/>
  <c r="G31" i="8"/>
  <c r="J31" i="8" s="1"/>
  <c r="G11" i="5"/>
  <c r="F15" i="7"/>
  <c r="G14" i="7"/>
  <c r="L14" i="7" s="1"/>
  <c r="F13" i="6"/>
  <c r="L12" i="6"/>
  <c r="G12" i="6"/>
  <c r="C34" i="4"/>
  <c r="D11" i="5"/>
  <c r="D26" i="5"/>
  <c r="F33" i="8" l="1"/>
  <c r="J32" i="8"/>
  <c r="G32" i="8"/>
  <c r="G15" i="7"/>
  <c r="L15" i="7" s="1"/>
  <c r="F14" i="6"/>
  <c r="G13" i="6"/>
  <c r="D34" i="4"/>
  <c r="F19" i="5"/>
  <c r="F48" i="5"/>
  <c r="F47" i="5"/>
  <c r="F46" i="5"/>
  <c r="F45" i="5"/>
  <c r="F44" i="5"/>
  <c r="F43" i="5"/>
  <c r="F42" i="5"/>
  <c r="F41" i="5"/>
  <c r="F40" i="5"/>
  <c r="F39" i="5"/>
  <c r="E39" i="5"/>
  <c r="F12" i="5"/>
  <c r="G12" i="5" s="1"/>
  <c r="F16" i="5"/>
  <c r="F20" i="5"/>
  <c r="F17" i="5"/>
  <c r="F15" i="5"/>
  <c r="F13" i="5"/>
  <c r="F14" i="5"/>
  <c r="F18" i="5"/>
  <c r="F33" i="5"/>
  <c r="F29" i="5"/>
  <c r="F31" i="5"/>
  <c r="F32" i="5"/>
  <c r="F28" i="5"/>
  <c r="F34" i="5"/>
  <c r="F30" i="5"/>
  <c r="E12" i="4"/>
  <c r="C35" i="4" s="1"/>
  <c r="D35" i="4" s="1"/>
  <c r="E35" i="4" s="1"/>
  <c r="F35" i="4" s="1"/>
  <c r="G35" i="4" s="1"/>
  <c r="H35" i="4" s="1"/>
  <c r="D21" i="1"/>
  <c r="D20" i="1"/>
  <c r="D19" i="1"/>
  <c r="O35" i="1"/>
  <c r="O31" i="1"/>
  <c r="O34" i="1" s="1"/>
  <c r="P26" i="1"/>
  <c r="Q26" i="1"/>
  <c r="O27" i="1"/>
  <c r="M28" i="1"/>
  <c r="G33" i="8" l="1"/>
  <c r="J33" i="8" s="1"/>
  <c r="C29" i="1"/>
  <c r="D29" i="1" s="1"/>
  <c r="D39" i="5"/>
  <c r="G39" i="5"/>
  <c r="L13" i="6"/>
  <c r="F15" i="6"/>
  <c r="L14" i="6"/>
  <c r="G14" i="6"/>
  <c r="C36" i="4"/>
  <c r="E34" i="4"/>
  <c r="B40" i="5"/>
  <c r="E40" i="5" s="1"/>
  <c r="E25" i="5"/>
  <c r="E13" i="4"/>
  <c r="D40" i="5" l="1"/>
  <c r="G40" i="5"/>
  <c r="D25" i="5"/>
  <c r="G25" i="5"/>
  <c r="L15" i="6"/>
  <c r="G15" i="6"/>
  <c r="F34" i="4"/>
  <c r="D36" i="4"/>
  <c r="B41" i="5"/>
  <c r="B42" i="5" s="1"/>
  <c r="B27" i="5"/>
  <c r="B13" i="5"/>
  <c r="D12" i="5"/>
  <c r="E36" i="4" l="1"/>
  <c r="G34" i="4"/>
  <c r="E41" i="5"/>
  <c r="B43" i="5"/>
  <c r="E42" i="5"/>
  <c r="B28" i="5"/>
  <c r="E27" i="5"/>
  <c r="E13" i="5"/>
  <c r="B14" i="5"/>
  <c r="D42" i="5" l="1"/>
  <c r="G42" i="5"/>
  <c r="D41" i="5"/>
  <c r="G41" i="5"/>
  <c r="D13" i="5"/>
  <c r="G13" i="5"/>
  <c r="D27" i="5"/>
  <c r="G27" i="5"/>
  <c r="I34" i="4"/>
  <c r="H34" i="4"/>
  <c r="F36" i="4"/>
  <c r="E43" i="5"/>
  <c r="B44" i="5"/>
  <c r="E28" i="5"/>
  <c r="G28" i="5" s="1"/>
  <c r="B29" i="5"/>
  <c r="B15" i="5"/>
  <c r="E14" i="5"/>
  <c r="D43" i="5" l="1"/>
  <c r="G43" i="5"/>
  <c r="D14" i="5"/>
  <c r="G14" i="5"/>
  <c r="G36" i="4"/>
  <c r="B45" i="5"/>
  <c r="E44" i="5"/>
  <c r="D28" i="5"/>
  <c r="E15" i="5"/>
  <c r="B16" i="5"/>
  <c r="B30" i="5"/>
  <c r="E29" i="5"/>
  <c r="D44" i="5" l="1"/>
  <c r="G44" i="5"/>
  <c r="D15" i="5"/>
  <c r="G15" i="5"/>
  <c r="D29" i="5"/>
  <c r="G29" i="5"/>
  <c r="I35" i="4"/>
  <c r="I36" i="4" s="1"/>
  <c r="H36" i="4"/>
  <c r="B46" i="5"/>
  <c r="E45" i="5"/>
  <c r="E16" i="5"/>
  <c r="B17" i="5"/>
  <c r="E30" i="5"/>
  <c r="B31" i="5"/>
  <c r="D45" i="5" l="1"/>
  <c r="G45" i="5"/>
  <c r="D16" i="5"/>
  <c r="G16" i="5"/>
  <c r="D30" i="5"/>
  <c r="G30" i="5"/>
  <c r="B47" i="5"/>
  <c r="E46" i="5"/>
  <c r="B32" i="5"/>
  <c r="E31" i="5"/>
  <c r="E17" i="5"/>
  <c r="B18" i="5"/>
  <c r="D46" i="5" l="1"/>
  <c r="G46" i="5"/>
  <c r="D17" i="5"/>
  <c r="G17" i="5"/>
  <c r="D31" i="5"/>
  <c r="G31" i="5"/>
  <c r="E47" i="5"/>
  <c r="B48" i="5"/>
  <c r="E48" i="5" s="1"/>
  <c r="B19" i="5"/>
  <c r="E18" i="5"/>
  <c r="E32" i="5"/>
  <c r="B33" i="5"/>
  <c r="D47" i="5" l="1"/>
  <c r="G47" i="5"/>
  <c r="D48" i="5"/>
  <c r="G48" i="5"/>
  <c r="D32" i="5"/>
  <c r="G32" i="5"/>
  <c r="D18" i="5"/>
  <c r="G18" i="5"/>
  <c r="E33" i="5"/>
  <c r="B34" i="5"/>
  <c r="E34" i="5" s="1"/>
  <c r="E19" i="5"/>
  <c r="B20" i="5"/>
  <c r="E20" i="5" s="1"/>
  <c r="D19" i="5" l="1"/>
  <c r="G19" i="5"/>
  <c r="D20" i="5"/>
  <c r="G20" i="5"/>
  <c r="D34" i="5"/>
  <c r="G34" i="5"/>
  <c r="D33" i="5"/>
  <c r="G33" i="5"/>
  <c r="C37" i="4"/>
  <c r="C41" i="4" s="1"/>
  <c r="D37" i="4"/>
  <c r="D41" i="4" s="1"/>
  <c r="F37" i="4" l="1"/>
  <c r="F41" i="4" s="1"/>
  <c r="E37" i="4"/>
  <c r="E41" i="4" s="1"/>
  <c r="G37" i="4" l="1"/>
  <c r="G41" i="4" s="1"/>
  <c r="H37" i="4" l="1"/>
  <c r="H41" i="4" s="1"/>
  <c r="I37" i="4"/>
  <c r="I41" i="4" s="1"/>
</calcChain>
</file>

<file path=xl/sharedStrings.xml><?xml version="1.0" encoding="utf-8"?>
<sst xmlns="http://schemas.openxmlformats.org/spreadsheetml/2006/main" count="273" uniqueCount="141">
  <si>
    <t xml:space="preserve">Guide to Calculating Salary and Effort in Kuali </t>
  </si>
  <si>
    <t xml:space="preserve"> </t>
  </si>
  <si>
    <t>Important Information</t>
  </si>
  <si>
    <t>For the purposes of proposal budgeting:</t>
  </si>
  <si>
    <t>Academic Calendar</t>
  </si>
  <si>
    <t>9/1 - 5/31</t>
  </si>
  <si>
    <t>Summer  Calendar</t>
  </si>
  <si>
    <t>6/1 - 8/31</t>
  </si>
  <si>
    <t>KEY  CONCEPTS:</t>
  </si>
  <si>
    <t>There will be multiple entries per person either for AY or Summer effort</t>
  </si>
  <si>
    <t>Cost of Living increases are calculated on July 1</t>
  </si>
  <si>
    <t>Cumulative grant year effort should begin and end with the proposed project period</t>
  </si>
  <si>
    <t>Object Codes drive and assign the appropriate fringe benefit rate</t>
  </si>
  <si>
    <t>Salary is entered with % of effort and not months (the system will do the translation to months for sponsor forms)</t>
  </si>
  <si>
    <t>Effort Calculator</t>
  </si>
  <si>
    <t>Months</t>
  </si>
  <si>
    <t>Appointment Type</t>
  </si>
  <si>
    <t>% Effort</t>
  </si>
  <si>
    <t>AY</t>
  </si>
  <si>
    <t>INPUTS</t>
  </si>
  <si>
    <t>Summer</t>
  </si>
  <si>
    <t>KUALI ENTRY</t>
  </si>
  <si>
    <t>CAL</t>
  </si>
  <si>
    <t>Total</t>
  </si>
  <si>
    <t>GRADUATE STUDENT CALCULATOR</t>
  </si>
  <si>
    <t>Current minimum hourly rate</t>
  </si>
  <si>
    <t>Input actual rate to be used</t>
  </si>
  <si>
    <t>Base Salary Hours</t>
  </si>
  <si>
    <t xml:space="preserve"> Base Salary Weeks</t>
  </si>
  <si>
    <t>Actual Weeks         SEE NOTE</t>
  </si>
  <si>
    <t xml:space="preserve">USE THIS AS BASE SALARY </t>
  </si>
  <si>
    <t>Actual Hours/Week</t>
  </si>
  <si>
    <t>Weeks/Period</t>
  </si>
  <si>
    <t xml:space="preserve">USE THIS EFFORT </t>
  </si>
  <si>
    <t>AY 9 month base salary</t>
  </si>
  <si>
    <t xml:space="preserve">Enter both base salary and effort in applicable field in Kuali </t>
  </si>
  <si>
    <t>Summer 3 month base salary</t>
  </si>
  <si>
    <t>Cumulative</t>
  </si>
  <si>
    <t>NOTE: 20 hours/week  typical maximum in AY and 40 hrs/week maximum in Summer</t>
  </si>
  <si>
    <t>NOTE: Enter both base salaries to Grad student personnel entries</t>
  </si>
  <si>
    <t>NOTE: Enter percent of effort when assigning Grad students to the budget</t>
  </si>
  <si>
    <t>NOTE: Grad student academic and summer salaries are calculated separately. Users will need two entries for each grad student if they have both AY and Summer effort.</t>
  </si>
  <si>
    <t xml:space="preserve"> NOTE: Do NOT change UNLESS period of performance is less than 12 months.</t>
  </si>
  <si>
    <t>COLA</t>
  </si>
  <si>
    <t>input COLA being used in proposal budget</t>
  </si>
  <si>
    <t>TUITION CHARGE</t>
  </si>
  <si>
    <t>FY24</t>
  </si>
  <si>
    <t>FY25</t>
  </si>
  <si>
    <t>FY26</t>
  </si>
  <si>
    <t>FY27</t>
  </si>
  <si>
    <t>FY28</t>
  </si>
  <si>
    <t>FY29</t>
  </si>
  <si>
    <t>FY30</t>
  </si>
  <si>
    <t>Curent tuition- full time</t>
  </si>
  <si>
    <t>Hourly rate</t>
  </si>
  <si>
    <t>Tution Charge Input in Kuali</t>
  </si>
  <si>
    <t>GRAD TOTAL Cost Estimator</t>
  </si>
  <si>
    <t>Month Budget Starts</t>
  </si>
  <si>
    <t>January</t>
  </si>
  <si>
    <t>Summer COLA</t>
  </si>
  <si>
    <t>AY Salary</t>
  </si>
  <si>
    <t>AY Fringe</t>
  </si>
  <si>
    <t>Sum Salary</t>
  </si>
  <si>
    <t>Sum Fringe</t>
  </si>
  <si>
    <t>Total Salary &amp; Fringe</t>
  </si>
  <si>
    <t>Tuition</t>
  </si>
  <si>
    <t xml:space="preserve">NIH SALARY  CAP GUIDE  </t>
  </si>
  <si>
    <t>NIH (12 Month) SALARY CAP</t>
  </si>
  <si>
    <t>NIH (9 Month) SALARY CAP</t>
  </si>
  <si>
    <r>
      <t>INPUT ACTUAL 9</t>
    </r>
    <r>
      <rPr>
        <b/>
        <sz val="8"/>
        <rFont val="Calibri (Body)"/>
      </rPr>
      <t xml:space="preserve"> </t>
    </r>
    <r>
      <rPr>
        <b/>
        <sz val="9"/>
        <rFont val="Calibri (Body)"/>
      </rPr>
      <t>Month Base Salary</t>
    </r>
  </si>
  <si>
    <t>INPUT ACTUAL 12 Month Base Salary</t>
  </si>
  <si>
    <t>Effective Monthly Cap Salary</t>
  </si>
  <si>
    <t>ACADEMIC YEAR CALCULATION</t>
  </si>
  <si>
    <t>UMass Fiscal Years Involved</t>
  </si>
  <si>
    <t>Faculty AY Salary</t>
  </si>
  <si>
    <t xml:space="preserve"> INPUT Total Effort </t>
  </si>
  <si>
    <t>Effort Charged to Sponsor</t>
  </si>
  <si>
    <t>Total Salary</t>
  </si>
  <si>
    <t>Capped Salary on Grant</t>
  </si>
  <si>
    <t>Salary Over Cap</t>
  </si>
  <si>
    <t>ENTER FY of Start Date</t>
  </si>
  <si>
    <t>ABOVE-ENTER FISCAL YEAR OF FIRST PERIOD OF PERFORMANCE</t>
  </si>
  <si>
    <t>SUMMER CALCULATION</t>
  </si>
  <si>
    <t>Faculty Summer Salary</t>
  </si>
  <si>
    <t xml:space="preserve"> INPUT Effort</t>
  </si>
  <si>
    <t>CALENDAR YEAR CALCULATION</t>
  </si>
  <si>
    <t>Faculty CAL Salary</t>
  </si>
  <si>
    <t>INPUT Effort</t>
  </si>
  <si>
    <t>Please note that due to rounding in Kuali and differences in COLAs due to varying start dates,
 it may not be possible  to match the above amounts of capped salary and salary over the cap. 
Salary amounts requested should not exceed the capped amount.</t>
  </si>
  <si>
    <t>FY2024</t>
  </si>
  <si>
    <t>For Start Date</t>
  </si>
  <si>
    <t>Modified AY COLA</t>
  </si>
  <si>
    <t>Subtotal 1 Summer</t>
  </si>
  <si>
    <t>Subtotal 2 Summer</t>
  </si>
  <si>
    <t>July</t>
  </si>
  <si>
    <t>August</t>
  </si>
  <si>
    <t>September</t>
  </si>
  <si>
    <t>October</t>
  </si>
  <si>
    <t>November</t>
  </si>
  <si>
    <t>December</t>
  </si>
  <si>
    <t>February</t>
  </si>
  <si>
    <t>March</t>
  </si>
  <si>
    <t>April</t>
  </si>
  <si>
    <t>May</t>
  </si>
  <si>
    <t>June</t>
  </si>
  <si>
    <t>Days at Base COLA</t>
  </si>
  <si>
    <t>AY Subtotal 1</t>
  </si>
  <si>
    <t>AY Subtotal 2</t>
  </si>
  <si>
    <t>Summer Days at Base COLA</t>
  </si>
  <si>
    <t>AY Days with Additional COLA</t>
  </si>
  <si>
    <t>AY days at Base COLA</t>
  </si>
  <si>
    <t>Summer Days with Additional COLA</t>
  </si>
  <si>
    <t>Total AY Days</t>
  </si>
  <si>
    <t>Total Summer Days</t>
  </si>
  <si>
    <t>Year 1</t>
  </si>
  <si>
    <t>Year 2</t>
  </si>
  <si>
    <t>Year 3</t>
  </si>
  <si>
    <t>Year 4</t>
  </si>
  <si>
    <t>Year 5</t>
  </si>
  <si>
    <t>Year 6</t>
  </si>
  <si>
    <t>Year 7</t>
  </si>
  <si>
    <t>AY Effective COLA for Year 1</t>
  </si>
  <si>
    <t>Summer Effective COLA for Year 1</t>
  </si>
  <si>
    <t>FY 2024</t>
  </si>
  <si>
    <t>Best practice is to set Salary Start Date to "Today" in Kuali for Graduate Student salaries, when using current rates.</t>
  </si>
  <si>
    <t>Total Calendar Days</t>
  </si>
  <si>
    <t>CAL days at Base COLA</t>
  </si>
  <si>
    <t>CAL Days with Additional COLA</t>
  </si>
  <si>
    <t>CAL Subtotal 1</t>
  </si>
  <si>
    <t>CAL Subtotal 2</t>
  </si>
  <si>
    <t>Modified CAL COLA</t>
  </si>
  <si>
    <t>Kuali Salary</t>
  </si>
  <si>
    <t>Kuali Fringe</t>
  </si>
  <si>
    <t>Kuali Subtotal</t>
  </si>
  <si>
    <t>Base salary in Kuali</t>
  </si>
  <si>
    <t>(Between July 2023 and June 2024)</t>
  </si>
  <si>
    <t>Base Salary x Prorated COLA x Percent Effort = Kuali Salary</t>
  </si>
  <si>
    <t>Choose between 2 and 5%</t>
  </si>
  <si>
    <t>Updated 11/17/2024</t>
  </si>
  <si>
    <t>Updated 1/17/2024</t>
  </si>
  <si>
    <t>For informational purposes only. 
 Amounts may not match Kuali exactly. COLA is applied annually on July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</si>
</sst>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
    <numFmt numFmtId="168" formatCode="0.000%"/>
    <numFmt numFmtId="169" formatCode="_(* #,##0.0000_);_(* \(#,##0.0000\);_(* &quot;-&quot;??_);_(@_)"/>
    <numFmt numFmtId="170" formatCode="0.00000%"/>
  </numFmts>
  <fonts count="2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9"/>
      <color theme="1"/>
      <name val="Calibri"/>
      <family val="2"/>
      <scheme val="minor"/>
    </font>
    <font>
      <sz val="9"/>
      <color theme="1"/>
      <name val="Calibri"/>
      <family val="2"/>
      <scheme val="minor"/>
    </font>
    <font>
      <i/>
      <sz val="11"/>
      <color theme="1"/>
      <name val="Calibri"/>
      <family val="2"/>
      <scheme val="minor"/>
    </font>
    <font>
      <i/>
      <sz val="8"/>
      <color theme="1"/>
      <name val="Calibri"/>
      <family val="2"/>
      <scheme val="minor"/>
    </font>
    <font>
      <b/>
      <sz val="16"/>
      <name val="Calibri"/>
      <family val="2"/>
      <scheme val="minor"/>
    </font>
    <font>
      <sz val="9"/>
      <name val="Calibri"/>
      <family val="2"/>
      <scheme val="minor"/>
    </font>
    <font>
      <b/>
      <sz val="10"/>
      <name val="Calibri"/>
      <family val="2"/>
      <scheme val="minor"/>
    </font>
    <font>
      <b/>
      <sz val="9"/>
      <name val="Calibri"/>
      <family val="2"/>
      <scheme val="minor"/>
    </font>
    <font>
      <sz val="1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8"/>
      <name val="Calibri (Body)"/>
    </font>
    <font>
      <b/>
      <sz val="9"/>
      <name val="Calibri (Body)"/>
    </font>
    <font>
      <i/>
      <sz val="9"/>
      <name val="Calibri"/>
      <family val="2"/>
      <scheme val="minor"/>
    </font>
    <font>
      <sz val="9"/>
      <color theme="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5"/>
        <bgColor indexed="64"/>
      </patternFill>
    </fill>
    <fill>
      <patternFill patternType="solid">
        <fgColor theme="5" tint="0.39997558519241921"/>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49">
    <xf numFmtId="0" fontId="0" fillId="0" borderId="0" xfId="0"/>
    <xf numFmtId="0" fontId="3" fillId="0" borderId="0" xfId="0" applyFont="1"/>
    <xf numFmtId="0" fontId="0" fillId="0" borderId="4" xfId="0" applyBorder="1"/>
    <xf numFmtId="0" fontId="0" fillId="0" borderId="7" xfId="0" applyBorder="1"/>
    <xf numFmtId="0" fontId="0" fillId="0" borderId="6" xfId="0" applyBorder="1"/>
    <xf numFmtId="0" fontId="4" fillId="0" borderId="0" xfId="0" applyFont="1"/>
    <xf numFmtId="0" fontId="5" fillId="0" borderId="4" xfId="0" applyFont="1" applyBorder="1"/>
    <xf numFmtId="0" fontId="5" fillId="0" borderId="5" xfId="0" applyFont="1" applyBorder="1"/>
    <xf numFmtId="0" fontId="6" fillId="0" borderId="5" xfId="0" applyFont="1" applyBorder="1"/>
    <xf numFmtId="0" fontId="6" fillId="0" borderId="6" xfId="0" applyFont="1" applyBorder="1"/>
    <xf numFmtId="0" fontId="7" fillId="0" borderId="8" xfId="0" applyFont="1" applyBorder="1"/>
    <xf numFmtId="0" fontId="3" fillId="0" borderId="13" xfId="0" applyFont="1" applyBorder="1" applyAlignment="1">
      <alignment wrapText="1"/>
    </xf>
    <xf numFmtId="0" fontId="0" fillId="0" borderId="13" xfId="0" applyBorder="1"/>
    <xf numFmtId="164" fontId="3" fillId="0" borderId="13" xfId="1" applyNumberFormat="1" applyFont="1" applyFill="1" applyBorder="1"/>
    <xf numFmtId="0" fontId="8" fillId="0" borderId="13" xfId="0" applyFont="1" applyBorder="1"/>
    <xf numFmtId="0" fontId="3" fillId="0" borderId="8" xfId="0" applyFont="1" applyBorder="1"/>
    <xf numFmtId="0" fontId="9" fillId="0" borderId="0" xfId="0" applyFont="1"/>
    <xf numFmtId="0" fontId="10" fillId="0" borderId="0" xfId="0" applyFont="1"/>
    <xf numFmtId="0" fontId="11" fillId="0" borderId="13" xfId="0" applyFont="1" applyBorder="1" applyAlignment="1">
      <alignment horizontal="center" vertical="center" wrapText="1"/>
    </xf>
    <xf numFmtId="0" fontId="12" fillId="0" borderId="13" xfId="0" applyFont="1" applyBorder="1" applyAlignment="1">
      <alignment vertical="center" wrapText="1"/>
    </xf>
    <xf numFmtId="165" fontId="11" fillId="0" borderId="14" xfId="3" applyNumberFormat="1" applyFont="1" applyFill="1" applyBorder="1"/>
    <xf numFmtId="0" fontId="13" fillId="0" borderId="0" xfId="0" applyFont="1"/>
    <xf numFmtId="165" fontId="11" fillId="0" borderId="0" xfId="3" applyNumberFormat="1" applyFont="1" applyFill="1" applyBorder="1"/>
    <xf numFmtId="44" fontId="11" fillId="0" borderId="0" xfId="3" applyFont="1" applyFill="1" applyBorder="1" applyAlignment="1"/>
    <xf numFmtId="9" fontId="11" fillId="0" borderId="0" xfId="0" applyNumberFormat="1" applyFont="1"/>
    <xf numFmtId="42" fontId="11" fillId="0" borderId="0" xfId="3" applyNumberFormat="1" applyFont="1" applyFill="1" applyBorder="1"/>
    <xf numFmtId="165" fontId="10" fillId="0" borderId="0" xfId="0" applyNumberFormat="1" applyFont="1"/>
    <xf numFmtId="0" fontId="12" fillId="0" borderId="13" xfId="0" applyFont="1" applyBorder="1"/>
    <xf numFmtId="165" fontId="12" fillId="0" borderId="13" xfId="3" applyNumberFormat="1" applyFont="1" applyFill="1" applyBorder="1"/>
    <xf numFmtId="44" fontId="12" fillId="0" borderId="13" xfId="3" applyFont="1" applyFill="1" applyBorder="1"/>
    <xf numFmtId="0" fontId="3" fillId="3" borderId="13" xfId="0" applyFont="1" applyFill="1" applyBorder="1" applyAlignment="1">
      <alignment wrapText="1"/>
    </xf>
    <xf numFmtId="164" fontId="3" fillId="3" borderId="13" xfId="1" applyNumberFormat="1" applyFont="1" applyFill="1" applyBorder="1"/>
    <xf numFmtId="0" fontId="0" fillId="2" borderId="0" xfId="0" applyFill="1"/>
    <xf numFmtId="0" fontId="3" fillId="3" borderId="0" xfId="0" applyFont="1" applyFill="1"/>
    <xf numFmtId="10" fontId="12" fillId="3" borderId="13" xfId="2" applyNumberFormat="1" applyFont="1" applyFill="1" applyBorder="1"/>
    <xf numFmtId="165" fontId="11" fillId="3" borderId="14" xfId="3" applyNumberFormat="1" applyFont="1" applyFill="1" applyBorder="1"/>
    <xf numFmtId="0" fontId="12" fillId="0" borderId="1" xfId="0" applyFont="1" applyBorder="1" applyAlignment="1">
      <alignment vertical="center"/>
    </xf>
    <xf numFmtId="0" fontId="14" fillId="0" borderId="0" xfId="0" applyFont="1"/>
    <xf numFmtId="0" fontId="15" fillId="0" borderId="0" xfId="0" applyFont="1"/>
    <xf numFmtId="0" fontId="14" fillId="0" borderId="4" xfId="0" applyFont="1" applyBorder="1"/>
    <xf numFmtId="0" fontId="14" fillId="0" borderId="5" xfId="0" applyFont="1" applyBorder="1"/>
    <xf numFmtId="0" fontId="14" fillId="0" borderId="5" xfId="0" applyFont="1" applyBorder="1" applyAlignment="1">
      <alignment wrapText="1"/>
    </xf>
    <xf numFmtId="0" fontId="14" fillId="0" borderId="6" xfId="0" applyFont="1" applyBorder="1"/>
    <xf numFmtId="0" fontId="14" fillId="0" borderId="10" xfId="0" applyFont="1" applyBorder="1"/>
    <xf numFmtId="0" fontId="14" fillId="0" borderId="7" xfId="0" applyFont="1" applyBorder="1"/>
    <xf numFmtId="44" fontId="10" fillId="0" borderId="0" xfId="0" applyNumberFormat="1" applyFont="1"/>
    <xf numFmtId="0" fontId="0" fillId="2" borderId="13" xfId="0" applyFill="1" applyBorder="1"/>
    <xf numFmtId="0" fontId="3" fillId="3" borderId="13" xfId="0" applyFont="1" applyFill="1" applyBorder="1"/>
    <xf numFmtId="0" fontId="14" fillId="2" borderId="13" xfId="0" applyFont="1" applyFill="1" applyBorder="1" applyProtection="1">
      <protection locked="0"/>
    </xf>
    <xf numFmtId="0" fontId="3" fillId="2" borderId="13" xfId="0" applyFont="1" applyFill="1" applyBorder="1" applyProtection="1">
      <protection locked="0"/>
    </xf>
    <xf numFmtId="44" fontId="11" fillId="2" borderId="7" xfId="3" applyFont="1" applyFill="1" applyBorder="1" applyAlignment="1" applyProtection="1">
      <protection locked="0"/>
    </xf>
    <xf numFmtId="9" fontId="0" fillId="2" borderId="13" xfId="2" applyFont="1" applyFill="1" applyBorder="1" applyProtection="1">
      <protection locked="0"/>
    </xf>
    <xf numFmtId="10" fontId="12" fillId="2" borderId="13" xfId="2" applyNumberFormat="1" applyFont="1" applyFill="1" applyBorder="1" applyProtection="1">
      <protection locked="0"/>
    </xf>
    <xf numFmtId="43" fontId="3" fillId="3" borderId="13" xfId="1" applyFont="1" applyFill="1" applyBorder="1"/>
    <xf numFmtId="44" fontId="13" fillId="0" borderId="0" xfId="0" applyNumberFormat="1" applyFont="1"/>
    <xf numFmtId="0" fontId="3" fillId="2" borderId="1" xfId="0" applyFont="1" applyFill="1" applyBorder="1"/>
    <xf numFmtId="0" fontId="1" fillId="0" borderId="5" xfId="0" applyFont="1" applyBorder="1"/>
    <xf numFmtId="0" fontId="1" fillId="0" borderId="8" xfId="0" applyFont="1" applyBorder="1"/>
    <xf numFmtId="16" fontId="1" fillId="0" borderId="0" xfId="0" applyNumberFormat="1" applyFont="1"/>
    <xf numFmtId="43" fontId="0" fillId="0" borderId="13" xfId="1" applyFont="1" applyBorder="1"/>
    <xf numFmtId="0" fontId="6" fillId="0" borderId="0" xfId="0" applyFont="1"/>
    <xf numFmtId="0" fontId="7" fillId="0" borderId="0" xfId="0" applyFont="1"/>
    <xf numFmtId="0" fontId="3" fillId="0" borderId="0" xfId="0" applyFont="1" applyAlignment="1">
      <alignment wrapText="1"/>
    </xf>
    <xf numFmtId="43" fontId="3" fillId="0" borderId="0" xfId="1" applyFont="1" applyBorder="1"/>
    <xf numFmtId="10" fontId="3" fillId="0" borderId="0" xfId="0" applyNumberFormat="1" applyFont="1"/>
    <xf numFmtId="43" fontId="3" fillId="0" borderId="0" xfId="1" applyFont="1" applyFill="1" applyBorder="1"/>
    <xf numFmtId="0" fontId="7" fillId="0" borderId="9" xfId="0" applyFont="1" applyBorder="1"/>
    <xf numFmtId="43" fontId="2" fillId="0" borderId="0" xfId="1" applyFont="1" applyBorder="1"/>
    <xf numFmtId="0" fontId="3" fillId="0" borderId="13" xfId="0" applyFont="1" applyBorder="1" applyAlignment="1">
      <alignment horizontal="center"/>
    </xf>
    <xf numFmtId="0" fontId="3" fillId="0" borderId="4" xfId="0" applyFont="1" applyBorder="1"/>
    <xf numFmtId="0" fontId="0" fillId="0" borderId="10" xfId="0" applyBorder="1"/>
    <xf numFmtId="0" fontId="0" fillId="0" borderId="11" xfId="0" applyBorder="1"/>
    <xf numFmtId="0" fontId="7" fillId="0" borderId="10" xfId="0" applyFont="1" applyBorder="1" applyAlignment="1">
      <alignment horizontal="right"/>
    </xf>
    <xf numFmtId="0" fontId="0" fillId="0" borderId="10" xfId="0" applyBorder="1" applyAlignment="1">
      <alignment horizontal="right"/>
    </xf>
    <xf numFmtId="10" fontId="0" fillId="0" borderId="0" xfId="0" applyNumberFormat="1"/>
    <xf numFmtId="0" fontId="0" fillId="0" borderId="8" xfId="0" applyBorder="1"/>
    <xf numFmtId="0" fontId="0" fillId="0" borderId="9" xfId="0" applyBorder="1"/>
    <xf numFmtId="10" fontId="3" fillId="3" borderId="13" xfId="2" applyNumberFormat="1" applyFont="1" applyFill="1" applyBorder="1"/>
    <xf numFmtId="0" fontId="8" fillId="5" borderId="13" xfId="0" applyFont="1" applyFill="1" applyBorder="1" applyProtection="1">
      <protection locked="0"/>
    </xf>
    <xf numFmtId="0" fontId="12" fillId="2" borderId="13" xfId="0" applyFont="1" applyFill="1" applyBorder="1" applyProtection="1">
      <protection locked="0"/>
    </xf>
    <xf numFmtId="0" fontId="12" fillId="2" borderId="0" xfId="0" applyFont="1" applyFill="1"/>
    <xf numFmtId="0" fontId="1" fillId="0" borderId="0" xfId="0" applyFont="1"/>
    <xf numFmtId="43" fontId="0" fillId="0" borderId="0" xfId="0" applyNumberFormat="1"/>
    <xf numFmtId="43" fontId="3" fillId="2" borderId="13" xfId="1" applyFont="1" applyFill="1" applyBorder="1" applyProtection="1">
      <protection locked="0"/>
    </xf>
    <xf numFmtId="0" fontId="3" fillId="0" borderId="13" xfId="0" applyFont="1" applyBorder="1"/>
    <xf numFmtId="164" fontId="3" fillId="0" borderId="13" xfId="1" applyNumberFormat="1" applyFont="1" applyBorder="1"/>
    <xf numFmtId="0" fontId="3" fillId="0" borderId="0" xfId="0" applyFont="1" applyAlignment="1">
      <alignment horizontal="left" wrapText="1"/>
    </xf>
    <xf numFmtId="0" fontId="3" fillId="0" borderId="12" xfId="0" applyFont="1" applyBorder="1"/>
    <xf numFmtId="166" fontId="3" fillId="0" borderId="12" xfId="1" applyNumberFormat="1" applyFont="1" applyBorder="1"/>
    <xf numFmtId="164" fontId="3" fillId="3" borderId="0" xfId="1" applyNumberFormat="1" applyFont="1" applyFill="1" applyBorder="1"/>
    <xf numFmtId="0" fontId="3" fillId="0" borderId="10" xfId="0" applyFont="1" applyBorder="1" applyAlignment="1">
      <alignment horizontal="right"/>
    </xf>
    <xf numFmtId="43" fontId="3" fillId="0" borderId="13" xfId="1" applyFont="1" applyBorder="1"/>
    <xf numFmtId="0" fontId="3" fillId="0" borderId="1" xfId="0" applyFont="1" applyBorder="1" applyAlignment="1">
      <alignment horizontal="left" wrapText="1"/>
    </xf>
    <xf numFmtId="164" fontId="3" fillId="3" borderId="9" xfId="1" applyNumberFormat="1" applyFont="1" applyFill="1" applyBorder="1"/>
    <xf numFmtId="164" fontId="3" fillId="3" borderId="14" xfId="1" applyNumberFormat="1" applyFont="1" applyFill="1" applyBorder="1"/>
    <xf numFmtId="167" fontId="3" fillId="2" borderId="6" xfId="2" applyNumberFormat="1" applyFont="1" applyFill="1" applyBorder="1" applyAlignment="1" applyProtection="1">
      <alignment horizontal="left" wrapText="1"/>
      <protection locked="0"/>
    </xf>
    <xf numFmtId="0" fontId="1" fillId="0" borderId="6" xfId="0" applyFont="1" applyBorder="1"/>
    <xf numFmtId="0" fontId="1" fillId="0" borderId="12" xfId="0" applyFont="1" applyBorder="1"/>
    <xf numFmtId="0" fontId="1" fillId="0" borderId="13" xfId="0" applyFont="1" applyBorder="1"/>
    <xf numFmtId="10" fontId="1" fillId="3" borderId="13" xfId="2" applyNumberFormat="1" applyFont="1" applyFill="1" applyBorder="1"/>
    <xf numFmtId="0" fontId="1" fillId="0" borderId="11" xfId="0" applyFont="1" applyBorder="1"/>
    <xf numFmtId="6" fontId="1" fillId="0" borderId="0" xfId="0" applyNumberFormat="1" applyFont="1"/>
    <xf numFmtId="0" fontId="1" fillId="0" borderId="4" xfId="0" applyFont="1" applyBorder="1"/>
    <xf numFmtId="0" fontId="1" fillId="0" borderId="7" xfId="0" applyFont="1" applyBorder="1"/>
    <xf numFmtId="43" fontId="1" fillId="0" borderId="0" xfId="1" applyFont="1"/>
    <xf numFmtId="43" fontId="1" fillId="0" borderId="0" xfId="0" applyNumberFormat="1" applyFont="1"/>
    <xf numFmtId="0" fontId="1" fillId="0" borderId="9" xfId="0" applyFont="1" applyBorder="1"/>
    <xf numFmtId="0" fontId="12" fillId="0" borderId="13" xfId="0" applyFont="1" applyBorder="1" applyAlignment="1">
      <alignment horizontal="center" wrapText="1"/>
    </xf>
    <xf numFmtId="0" fontId="12" fillId="0" borderId="12" xfId="0" applyFont="1" applyBorder="1" applyAlignment="1">
      <alignment horizontal="center"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0" fillId="0" borderId="0" xfId="0" applyAlignment="1">
      <alignment wrapText="1"/>
    </xf>
    <xf numFmtId="10" fontId="3" fillId="3" borderId="6" xfId="2" applyNumberFormat="1" applyFont="1" applyFill="1" applyBorder="1" applyAlignment="1" applyProtection="1">
      <alignment horizontal="left" wrapText="1"/>
    </xf>
    <xf numFmtId="168" fontId="0" fillId="0" borderId="0" xfId="0" applyNumberFormat="1"/>
    <xf numFmtId="169" fontId="0" fillId="0" borderId="0" xfId="0" applyNumberFormat="1"/>
    <xf numFmtId="14" fontId="0" fillId="0" borderId="0" xfId="0" applyNumberFormat="1"/>
    <xf numFmtId="164" fontId="2" fillId="6" borderId="13" xfId="1" applyNumberFormat="1" applyFont="1" applyFill="1" applyBorder="1"/>
    <xf numFmtId="10" fontId="0" fillId="0" borderId="16" xfId="0" applyNumberFormat="1" applyBorder="1"/>
    <xf numFmtId="10" fontId="0" fillId="0" borderId="17" xfId="0" applyNumberFormat="1" applyBorder="1"/>
    <xf numFmtId="170" fontId="0" fillId="0" borderId="17" xfId="0" applyNumberFormat="1" applyBorder="1"/>
    <xf numFmtId="170" fontId="0" fillId="0" borderId="18" xfId="0" applyNumberFormat="1" applyBorder="1"/>
    <xf numFmtId="170" fontId="0" fillId="0" borderId="12" xfId="0" applyNumberFormat="1" applyBorder="1"/>
    <xf numFmtId="0" fontId="1" fillId="0" borderId="0" xfId="0" applyFont="1" applyProtection="1">
      <protection hidden="1"/>
    </xf>
    <xf numFmtId="10" fontId="1" fillId="0" borderId="0" xfId="2" applyNumberFormat="1" applyFont="1" applyBorder="1"/>
    <xf numFmtId="10" fontId="1" fillId="0" borderId="0" xfId="0" applyNumberFormat="1" applyFont="1"/>
    <xf numFmtId="0" fontId="1" fillId="0" borderId="0" xfId="0" applyFont="1" applyAlignment="1">
      <alignment horizontal="right"/>
    </xf>
    <xf numFmtId="0" fontId="16" fillId="0" borderId="0" xfId="0" applyFont="1"/>
    <xf numFmtId="8" fontId="1" fillId="0" borderId="13" xfId="0" applyNumberFormat="1" applyFont="1" applyBorder="1"/>
    <xf numFmtId="8" fontId="1" fillId="0" borderId="13" xfId="2" applyNumberFormat="1" applyFont="1" applyBorder="1"/>
    <xf numFmtId="0" fontId="0" fillId="0" borderId="0" xfId="0" applyAlignment="1">
      <alignment horizontal="left"/>
    </xf>
    <xf numFmtId="0" fontId="1" fillId="0" borderId="0" xfId="0" applyFont="1" applyAlignment="1">
      <alignment horizontal="left"/>
    </xf>
    <xf numFmtId="0" fontId="0" fillId="2" borderId="0" xfId="0" applyFill="1" applyAlignment="1" applyProtection="1">
      <alignment horizontal="right"/>
      <protection locked="0"/>
    </xf>
    <xf numFmtId="6" fontId="1" fillId="2" borderId="0" xfId="0" applyNumberFormat="1" applyFont="1" applyFill="1" applyProtection="1">
      <protection locked="0"/>
    </xf>
    <xf numFmtId="0" fontId="20" fillId="0" borderId="0" xfId="0" applyFont="1" applyProtection="1">
      <protection hidden="1"/>
    </xf>
    <xf numFmtId="10" fontId="1" fillId="2" borderId="0" xfId="0" applyNumberFormat="1" applyFont="1" applyFill="1"/>
    <xf numFmtId="0" fontId="3" fillId="5" borderId="0" xfId="0" applyFont="1" applyFill="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5" xfId="0" applyFont="1" applyBorder="1" applyAlignment="1">
      <alignment horizontal="center" wrapText="1"/>
    </xf>
    <xf numFmtId="0" fontId="19" fillId="0" borderId="0" xfId="0" applyFont="1" applyAlignment="1">
      <alignment horizontal="left" wrapText="1"/>
    </xf>
    <xf numFmtId="165" fontId="11" fillId="4" borderId="1" xfId="3" applyNumberFormat="1" applyFont="1" applyFill="1" applyBorder="1" applyAlignment="1">
      <alignment horizontal="center"/>
    </xf>
    <xf numFmtId="165" fontId="11" fillId="4" borderId="2" xfId="3" applyNumberFormat="1" applyFont="1" applyFill="1" applyBorder="1" applyAlignment="1">
      <alignment horizontal="center"/>
    </xf>
    <xf numFmtId="165" fontId="11" fillId="4" borderId="3" xfId="3" applyNumberFormat="1" applyFont="1" applyFill="1" applyBorder="1" applyAlignment="1">
      <alignment horizontal="center"/>
    </xf>
    <xf numFmtId="0" fontId="12" fillId="0" borderId="13" xfId="0" applyFont="1" applyBorder="1" applyAlignment="1">
      <alignment horizontal="center" wrapText="1"/>
    </xf>
    <xf numFmtId="0" fontId="12" fillId="0" borderId="12" xfId="0" applyFont="1" applyBorder="1" applyAlignment="1">
      <alignment horizontal="center" wrapText="1"/>
    </xf>
    <xf numFmtId="0" fontId="12" fillId="0" borderId="14" xfId="0" applyFont="1" applyBorder="1" applyAlignment="1">
      <alignment horizontal="center" wrapText="1"/>
    </xf>
    <xf numFmtId="0" fontId="12" fillId="2" borderId="13" xfId="0" applyFont="1" applyFill="1" applyBorder="1" applyAlignment="1">
      <alignment horizontal="center" wrapText="1"/>
    </xf>
    <xf numFmtId="0" fontId="12" fillId="2" borderId="12" xfId="0" applyFont="1" applyFill="1" applyBorder="1" applyAlignment="1">
      <alignment horizontal="center" wrapText="1"/>
    </xf>
    <xf numFmtId="0" fontId="0" fillId="2" borderId="0" xfId="0" applyFill="1" applyProtection="1">
      <protection locked="0"/>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opLeftCell="A12" zoomScale="130" zoomScaleNormal="130" workbookViewId="0">
      <selection activeCell="G1" sqref="G1:I1048576"/>
    </sheetView>
  </sheetViews>
  <sheetFormatPr defaultColWidth="8.81640625" defaultRowHeight="15.5"/>
  <cols>
    <col min="1" max="1" width="8.81640625" style="38"/>
    <col min="2" max="2" width="20.26953125" style="38" customWidth="1"/>
    <col min="3" max="3" width="13.7265625" style="38" customWidth="1"/>
    <col min="4" max="4" width="29.7265625" style="38" customWidth="1"/>
    <col min="5" max="5" width="8.81640625" style="38"/>
    <col min="6" max="6" width="33" style="38" customWidth="1"/>
    <col min="7" max="7" width="11.7265625" style="38" hidden="1" customWidth="1"/>
    <col min="8" max="9" width="0" style="38" hidden="1" customWidth="1"/>
    <col min="10" max="11" width="8.81640625" style="38"/>
    <col min="12" max="14" width="0" style="38" hidden="1" customWidth="1"/>
    <col min="15" max="15" width="11.1796875" style="38" hidden="1" customWidth="1"/>
    <col min="16" max="18" width="0" style="38" hidden="1" customWidth="1"/>
    <col min="19" max="16384" width="8.81640625" style="38"/>
  </cols>
  <sheetData>
    <row r="1" spans="1:9" ht="26">
      <c r="A1" s="5" t="s">
        <v>0</v>
      </c>
      <c r="B1" s="81"/>
      <c r="C1" s="81"/>
      <c r="D1" s="81"/>
      <c r="E1" s="1" t="s">
        <v>123</v>
      </c>
      <c r="F1" t="s">
        <v>139</v>
      </c>
      <c r="G1" s="81"/>
      <c r="H1" s="81"/>
      <c r="I1" s="81"/>
    </row>
    <row r="2" spans="1:9">
      <c r="A2" s="81" t="s">
        <v>1</v>
      </c>
      <c r="B2" s="81"/>
      <c r="C2" s="81"/>
      <c r="D2" s="81"/>
      <c r="E2" s="81"/>
      <c r="F2" s="81"/>
      <c r="G2" s="81"/>
      <c r="H2" s="81"/>
      <c r="I2" s="81"/>
    </row>
    <row r="3" spans="1:9">
      <c r="A3" s="37" t="s">
        <v>2</v>
      </c>
      <c r="B3" s="81"/>
      <c r="C3" s="81"/>
      <c r="G3" s="122">
        <f>VLOOKUP(C24,'COLA Array NIH'!B4:O15,11,FALSE)</f>
        <v>8.9051094890510944E-3</v>
      </c>
      <c r="H3" s="122">
        <f>VLOOKUP(C24,'COLA Array NIH'!B4:O15,14,FALSE)</f>
        <v>1.3333333333333334E-2</v>
      </c>
      <c r="I3" s="122">
        <f>VLOOKUP(C24,'COLA Array NIH'!B15:J33,9,FALSE)</f>
        <v>1.0054644808743169E-2</v>
      </c>
    </row>
    <row r="4" spans="1:9">
      <c r="A4" s="81" t="s">
        <v>3</v>
      </c>
      <c r="B4" s="81"/>
      <c r="C4" s="81"/>
      <c r="D4" s="81"/>
      <c r="E4" s="81"/>
      <c r="F4" s="81"/>
      <c r="G4" s="81"/>
      <c r="H4" s="81"/>
      <c r="I4" s="81"/>
    </row>
    <row r="5" spans="1:9">
      <c r="A5" s="37" t="s">
        <v>4</v>
      </c>
      <c r="B5" s="37"/>
      <c r="C5" s="37" t="s">
        <v>5</v>
      </c>
      <c r="D5" s="81"/>
      <c r="E5" s="81"/>
      <c r="F5" s="81"/>
      <c r="G5" s="81"/>
      <c r="H5" s="81"/>
      <c r="I5" s="81"/>
    </row>
    <row r="6" spans="1:9">
      <c r="A6" s="37" t="s">
        <v>6</v>
      </c>
      <c r="B6" s="37"/>
      <c r="C6" s="37" t="s">
        <v>7</v>
      </c>
      <c r="D6" s="81"/>
      <c r="E6" s="81"/>
      <c r="F6" s="81"/>
      <c r="G6" s="81"/>
      <c r="H6" s="81"/>
      <c r="I6" s="81"/>
    </row>
    <row r="7" spans="1:9">
      <c r="A7" s="37"/>
      <c r="B7" s="37"/>
      <c r="C7" s="37"/>
      <c r="D7" s="81"/>
      <c r="E7" s="81"/>
      <c r="F7" s="81"/>
      <c r="G7" s="81"/>
      <c r="H7" s="81"/>
      <c r="I7" s="81"/>
    </row>
    <row r="8" spans="1:9">
      <c r="A8" s="37"/>
      <c r="B8" s="37"/>
      <c r="C8" s="37"/>
      <c r="D8" s="81"/>
      <c r="E8" s="81"/>
      <c r="F8" s="81"/>
      <c r="G8" s="81"/>
      <c r="H8" s="81"/>
      <c r="I8" s="81"/>
    </row>
    <row r="9" spans="1:9">
      <c r="A9" s="37" t="s">
        <v>8</v>
      </c>
      <c r="B9" s="37"/>
      <c r="C9" s="37"/>
      <c r="D9" s="81"/>
      <c r="E9" s="81"/>
      <c r="F9" s="81"/>
      <c r="G9" s="81"/>
      <c r="H9" s="81"/>
      <c r="I9" s="81"/>
    </row>
    <row r="10" spans="1:9">
      <c r="A10" s="37"/>
      <c r="B10" s="37"/>
      <c r="C10" s="37"/>
      <c r="D10" s="81"/>
      <c r="E10" s="81"/>
      <c r="F10" s="81"/>
      <c r="G10" s="81"/>
      <c r="H10" s="81"/>
      <c r="I10" s="81"/>
    </row>
    <row r="11" spans="1:9">
      <c r="A11" s="37" t="s">
        <v>9</v>
      </c>
      <c r="B11" s="81"/>
      <c r="C11" s="81"/>
      <c r="D11" s="81"/>
      <c r="E11" s="81"/>
      <c r="F11" s="81"/>
      <c r="G11" s="81"/>
      <c r="H11" s="81"/>
      <c r="I11" s="81"/>
    </row>
    <row r="12" spans="1:9">
      <c r="A12" s="37" t="s">
        <v>10</v>
      </c>
      <c r="B12" s="81"/>
      <c r="C12" s="81"/>
      <c r="D12" s="81"/>
      <c r="E12" s="81"/>
      <c r="F12" s="81"/>
      <c r="G12" s="81"/>
      <c r="H12" s="81"/>
      <c r="I12" s="81"/>
    </row>
    <row r="13" spans="1:9">
      <c r="A13" s="37" t="s">
        <v>11</v>
      </c>
      <c r="B13" s="81"/>
      <c r="C13" s="81"/>
      <c r="D13" s="81"/>
      <c r="E13" s="81"/>
      <c r="F13" s="81"/>
      <c r="G13" s="81"/>
      <c r="H13" s="81" t="s">
        <v>1</v>
      </c>
      <c r="I13" s="81" t="s">
        <v>1</v>
      </c>
    </row>
    <row r="14" spans="1:9">
      <c r="A14" s="37" t="s">
        <v>12</v>
      </c>
      <c r="B14" s="81"/>
      <c r="C14" s="81"/>
      <c r="D14" s="81"/>
      <c r="E14" s="81"/>
      <c r="F14" s="81"/>
      <c r="G14" s="81"/>
      <c r="H14" s="81"/>
      <c r="I14" s="81"/>
    </row>
    <row r="15" spans="1:9">
      <c r="A15" s="37" t="s">
        <v>13</v>
      </c>
      <c r="B15" s="81"/>
      <c r="C15" s="81"/>
      <c r="D15" s="81"/>
      <c r="E15" s="81"/>
      <c r="F15" s="81"/>
      <c r="G15" s="81"/>
      <c r="H15" s="81"/>
      <c r="I15" s="81"/>
    </row>
    <row r="16" spans="1:9">
      <c r="A16" s="37"/>
      <c r="B16" s="81"/>
      <c r="C16" s="81"/>
      <c r="D16" s="81"/>
      <c r="E16" s="81"/>
      <c r="F16" s="81"/>
      <c r="G16" s="81"/>
      <c r="H16" s="81"/>
      <c r="I16" s="81"/>
    </row>
    <row r="17" spans="1:17">
      <c r="A17" s="39" t="s">
        <v>14</v>
      </c>
      <c r="B17" s="56"/>
      <c r="C17" s="56"/>
      <c r="D17" s="96"/>
      <c r="E17" s="81"/>
      <c r="F17" s="81"/>
      <c r="G17" s="81"/>
      <c r="H17" s="81"/>
      <c r="I17" s="81"/>
      <c r="J17" s="81"/>
      <c r="K17" s="81"/>
      <c r="L17" s="81"/>
      <c r="M17" s="81"/>
      <c r="N17" s="81"/>
      <c r="O17" s="81"/>
      <c r="P17" s="81"/>
      <c r="Q17" s="81"/>
    </row>
    <row r="18" spans="1:17" ht="41.15" customHeight="1">
      <c r="A18" s="97"/>
      <c r="B18" s="40" t="s">
        <v>15</v>
      </c>
      <c r="C18" s="41" t="s">
        <v>16</v>
      </c>
      <c r="D18" s="42" t="s">
        <v>17</v>
      </c>
      <c r="E18" s="81"/>
      <c r="F18" s="81"/>
      <c r="G18" s="81"/>
      <c r="H18" s="81"/>
      <c r="I18" s="81"/>
      <c r="J18" s="81"/>
      <c r="K18" s="81"/>
      <c r="L18" s="81"/>
      <c r="M18" s="81"/>
      <c r="N18" s="81"/>
      <c r="O18" s="81"/>
      <c r="P18" s="81"/>
      <c r="Q18" s="81"/>
    </row>
    <row r="19" spans="1:17">
      <c r="A19" s="43" t="s">
        <v>18</v>
      </c>
      <c r="B19" s="48">
        <v>1</v>
      </c>
      <c r="C19" s="98">
        <v>9</v>
      </c>
      <c r="D19" s="99">
        <f>B19/C19</f>
        <v>0.1111111111111111</v>
      </c>
      <c r="E19" s="81"/>
      <c r="F19" s="46" t="s">
        <v>19</v>
      </c>
      <c r="G19" s="81"/>
      <c r="H19" s="58" t="s">
        <v>1</v>
      </c>
      <c r="I19" s="81"/>
      <c r="J19" s="81"/>
      <c r="K19" s="81"/>
      <c r="L19" s="81"/>
      <c r="M19" s="81"/>
      <c r="N19" s="81"/>
      <c r="O19" s="81"/>
      <c r="P19" s="81"/>
      <c r="Q19" s="81"/>
    </row>
    <row r="20" spans="1:17">
      <c r="A20" s="43" t="s">
        <v>20</v>
      </c>
      <c r="B20" s="48">
        <v>0.09</v>
      </c>
      <c r="C20" s="98">
        <v>3</v>
      </c>
      <c r="D20" s="99">
        <f>B20/C20</f>
        <v>0.03</v>
      </c>
      <c r="E20" s="81"/>
      <c r="F20" s="47" t="s">
        <v>21</v>
      </c>
      <c r="G20" s="81"/>
      <c r="H20" s="81"/>
      <c r="I20" s="81"/>
      <c r="J20" s="81"/>
      <c r="K20" s="81"/>
      <c r="L20" s="81"/>
      <c r="M20" s="81"/>
      <c r="N20" s="81"/>
      <c r="O20" s="81"/>
      <c r="P20" s="81"/>
      <c r="Q20" s="81"/>
    </row>
    <row r="21" spans="1:17">
      <c r="A21" s="44" t="s">
        <v>22</v>
      </c>
      <c r="B21" s="48">
        <v>2</v>
      </c>
      <c r="C21" s="98">
        <v>12</v>
      </c>
      <c r="D21" s="99">
        <f>B21/C21</f>
        <v>0.16666666666666666</v>
      </c>
      <c r="E21" s="81"/>
      <c r="F21" s="81"/>
      <c r="G21" s="81"/>
      <c r="H21" s="81"/>
      <c r="I21" s="81"/>
      <c r="J21" s="81"/>
      <c r="K21" s="81"/>
      <c r="L21" s="81"/>
      <c r="M21" s="81"/>
      <c r="N21" s="81"/>
      <c r="O21" s="81"/>
      <c r="P21" s="81"/>
      <c r="Q21" s="81"/>
    </row>
    <row r="23" spans="1:17">
      <c r="A23" s="37"/>
      <c r="B23" s="81" t="s">
        <v>43</v>
      </c>
      <c r="C23" s="134">
        <v>3.5000000000000003E-2</v>
      </c>
      <c r="D23" s="81" t="s">
        <v>137</v>
      </c>
      <c r="E23" s="81" t="s">
        <v>1</v>
      </c>
      <c r="F23" s="81"/>
      <c r="G23" s="81"/>
      <c r="H23" s="81"/>
      <c r="I23" s="81"/>
      <c r="J23" s="81"/>
      <c r="K23" s="81"/>
      <c r="L23" s="81"/>
      <c r="M23" s="81"/>
      <c r="N23" s="81"/>
      <c r="O23" s="81"/>
      <c r="P23" s="81"/>
      <c r="Q23" s="81"/>
    </row>
    <row r="24" spans="1:17">
      <c r="A24" s="17"/>
      <c r="B24" s="129" t="s">
        <v>57</v>
      </c>
      <c r="C24" s="131" t="s">
        <v>58</v>
      </c>
      <c r="D24" s="81" t="s">
        <v>135</v>
      </c>
      <c r="E24" s="81"/>
      <c r="F24" s="81"/>
      <c r="G24" s="81"/>
      <c r="H24" s="81"/>
      <c r="I24" s="81"/>
      <c r="J24" s="81"/>
      <c r="K24" s="81"/>
      <c r="L24" s="81"/>
      <c r="M24" s="81"/>
      <c r="N24" s="81"/>
      <c r="O24" s="81"/>
      <c r="P24" s="81"/>
      <c r="Q24" s="81"/>
    </row>
    <row r="25" spans="1:17">
      <c r="A25" s="81"/>
      <c r="B25" s="130" t="s">
        <v>134</v>
      </c>
      <c r="C25" s="132">
        <v>100000</v>
      </c>
      <c r="D25" s="81"/>
      <c r="E25" s="81"/>
      <c r="F25" s="81"/>
      <c r="G25" s="81"/>
      <c r="H25" s="81"/>
      <c r="I25" s="81"/>
      <c r="J25" s="81"/>
      <c r="K25" s="81"/>
      <c r="L25" s="81"/>
      <c r="M25" s="81"/>
      <c r="N25" s="81"/>
      <c r="O25" s="81"/>
      <c r="P25" s="81"/>
      <c r="Q25" s="81"/>
    </row>
    <row r="26" spans="1:17">
      <c r="E26" s="81"/>
      <c r="F26" s="81"/>
      <c r="G26" s="81"/>
      <c r="H26" s="81"/>
      <c r="I26" s="81"/>
      <c r="J26" s="81"/>
      <c r="K26" s="81"/>
      <c r="L26" s="81"/>
      <c r="M26" s="81">
        <v>155000</v>
      </c>
      <c r="N26" s="81"/>
      <c r="O26" s="81"/>
      <c r="P26" s="81">
        <f>M26/9</f>
        <v>17222.222222222223</v>
      </c>
      <c r="Q26" s="81">
        <f>P26*3</f>
        <v>51666.666666666672</v>
      </c>
    </row>
    <row r="27" spans="1:17">
      <c r="A27" s="102"/>
      <c r="B27" s="40" t="s">
        <v>131</v>
      </c>
      <c r="C27" s="40" t="s">
        <v>132</v>
      </c>
      <c r="D27" s="40" t="s">
        <v>133</v>
      </c>
      <c r="E27" s="96"/>
      <c r="F27" s="81"/>
      <c r="G27" s="81"/>
      <c r="H27" s="81"/>
      <c r="I27" s="81"/>
      <c r="J27" s="81"/>
      <c r="K27" s="81"/>
      <c r="L27" s="81"/>
      <c r="M27" s="81">
        <v>4</v>
      </c>
      <c r="N27" s="81"/>
      <c r="O27" s="81">
        <f>4/9</f>
        <v>0.44444444444444442</v>
      </c>
      <c r="P27" s="81"/>
      <c r="Q27" s="81"/>
    </row>
    <row r="28" spans="1:17">
      <c r="A28" s="43" t="s">
        <v>18</v>
      </c>
      <c r="B28" s="127">
        <f>($C$25*(1+G3))*D19</f>
        <v>11210.056772100566</v>
      </c>
      <c r="C28" s="127">
        <f>B28*0.4697</f>
        <v>5265.3636658556361</v>
      </c>
      <c r="D28" s="128">
        <f>B28+C28</f>
        <v>16475.420437956203</v>
      </c>
      <c r="E28" s="100"/>
      <c r="F28" s="81"/>
      <c r="G28" s="101"/>
      <c r="H28" s="81"/>
      <c r="I28" s="81"/>
      <c r="J28" s="81"/>
      <c r="K28" s="81"/>
      <c r="L28" s="81"/>
      <c r="M28" s="81">
        <f>4/12</f>
        <v>0.33333333333333331</v>
      </c>
      <c r="N28" s="81"/>
      <c r="O28" s="81"/>
      <c r="P28" s="81"/>
      <c r="Q28" s="81"/>
    </row>
    <row r="29" spans="1:17">
      <c r="A29" s="43" t="s">
        <v>20</v>
      </c>
      <c r="B29" s="127">
        <f>($C$25*(1+H3))*D20</f>
        <v>3040</v>
      </c>
      <c r="C29" s="127">
        <f>B29*0.0225</f>
        <v>68.399999999999991</v>
      </c>
      <c r="D29" s="128">
        <f>B29+C29</f>
        <v>3108.4</v>
      </c>
      <c r="E29" s="100"/>
      <c r="F29" s="81"/>
      <c r="G29" s="101"/>
      <c r="H29" s="81"/>
      <c r="I29" s="81"/>
      <c r="J29" s="81"/>
      <c r="K29" s="81"/>
      <c r="L29" s="81"/>
      <c r="M29" s="81"/>
      <c r="N29" s="81"/>
      <c r="O29" s="81"/>
      <c r="P29" s="81"/>
      <c r="Q29" s="81"/>
    </row>
    <row r="30" spans="1:17">
      <c r="A30" s="43" t="s">
        <v>22</v>
      </c>
      <c r="B30" s="127">
        <f>($C$25*(1+I3))*D21</f>
        <v>16834.244080145716</v>
      </c>
      <c r="C30" s="127">
        <f>B30*0.4697</f>
        <v>7907.0444444444429</v>
      </c>
      <c r="D30" s="128">
        <f>B30+C30</f>
        <v>24741.28852459016</v>
      </c>
      <c r="E30" s="100"/>
      <c r="F30" s="81"/>
      <c r="G30" s="101"/>
      <c r="H30" s="81"/>
      <c r="I30" s="81"/>
      <c r="J30" s="81"/>
      <c r="K30" s="81"/>
      <c r="L30" s="81"/>
      <c r="M30" s="81"/>
      <c r="N30" s="81"/>
      <c r="O30" s="104">
        <v>100000</v>
      </c>
      <c r="P30" s="81"/>
      <c r="Q30" s="81"/>
    </row>
    <row r="31" spans="1:17">
      <c r="A31" s="103"/>
      <c r="B31" s="57"/>
      <c r="C31" s="57"/>
      <c r="D31" s="57"/>
      <c r="E31" s="106"/>
      <c r="F31" s="125"/>
      <c r="G31" s="101"/>
      <c r="H31" s="81"/>
      <c r="I31" s="81"/>
      <c r="J31" s="81"/>
      <c r="K31" s="81"/>
      <c r="L31" s="81"/>
      <c r="M31" s="81"/>
      <c r="N31" s="81"/>
      <c r="O31" s="104">
        <f>O30/9</f>
        <v>11111.111111111111</v>
      </c>
      <c r="P31" s="81"/>
      <c r="Q31" s="81"/>
    </row>
    <row r="32" spans="1:17">
      <c r="A32" s="81"/>
      <c r="B32" s="81"/>
      <c r="C32" s="126"/>
      <c r="D32" s="81"/>
      <c r="E32" s="81"/>
      <c r="F32" s="81"/>
      <c r="G32" s="101"/>
      <c r="H32" s="81"/>
      <c r="I32" s="81"/>
      <c r="J32" s="81"/>
      <c r="K32" s="81"/>
      <c r="L32" s="81"/>
      <c r="M32" s="81"/>
      <c r="N32" s="81"/>
      <c r="O32" s="104"/>
      <c r="P32" s="81"/>
      <c r="Q32" s="81"/>
    </row>
    <row r="33" spans="1:15">
      <c r="A33" s="81"/>
      <c r="B33" s="81" t="s">
        <v>136</v>
      </c>
      <c r="C33" s="81"/>
      <c r="D33" s="81"/>
      <c r="E33" s="81"/>
      <c r="F33" s="81"/>
      <c r="G33" s="101"/>
      <c r="H33" s="81"/>
      <c r="I33" s="81"/>
      <c r="J33" s="81"/>
      <c r="K33" s="81"/>
      <c r="L33" s="81"/>
      <c r="M33" s="81"/>
      <c r="N33" s="81"/>
      <c r="O33" s="104"/>
    </row>
    <row r="34" spans="1:15">
      <c r="A34" s="37"/>
      <c r="B34" s="81"/>
      <c r="C34" s="37"/>
      <c r="D34" s="81"/>
      <c r="E34" s="81"/>
      <c r="F34" s="81"/>
      <c r="G34" s="81"/>
      <c r="H34" s="81"/>
      <c r="I34" s="81"/>
      <c r="J34" s="81"/>
      <c r="K34" s="81"/>
      <c r="L34" s="81"/>
      <c r="M34" s="81"/>
      <c r="N34" s="81"/>
      <c r="O34" s="105">
        <f>O31*2</f>
        <v>22222.222222222223</v>
      </c>
    </row>
    <row r="35" spans="1:15">
      <c r="A35" s="81"/>
      <c r="B35" s="81"/>
      <c r="C35" s="81"/>
      <c r="D35" s="81"/>
      <c r="E35" s="81"/>
      <c r="F35" s="81"/>
      <c r="G35" s="81"/>
      <c r="H35" s="81"/>
      <c r="I35" s="81"/>
      <c r="J35" s="81"/>
      <c r="K35" s="81"/>
      <c r="L35" s="81"/>
      <c r="M35" s="81"/>
      <c r="N35" s="81"/>
      <c r="O35" s="101">
        <f>G29+G30</f>
        <v>0</v>
      </c>
    </row>
    <row r="36" spans="1:15">
      <c r="A36" s="81"/>
      <c r="B36" s="81"/>
      <c r="C36" s="81"/>
      <c r="D36" s="81"/>
      <c r="E36" s="81"/>
      <c r="F36" s="81"/>
      <c r="G36" s="81"/>
      <c r="H36" s="81"/>
      <c r="I36" s="81"/>
      <c r="J36" s="81"/>
      <c r="K36" s="81"/>
      <c r="L36" s="81"/>
      <c r="M36" s="81"/>
      <c r="N36" s="81"/>
      <c r="O36" s="81"/>
    </row>
    <row r="37" spans="1:15">
      <c r="A37" s="81"/>
      <c r="B37" s="81"/>
      <c r="C37" s="81"/>
      <c r="D37" s="101"/>
      <c r="E37" s="81"/>
      <c r="F37" s="81"/>
      <c r="G37" s="81"/>
      <c r="H37" s="81"/>
      <c r="I37" s="81"/>
      <c r="J37" s="81"/>
      <c r="K37" s="81"/>
      <c r="L37" s="81"/>
      <c r="M37" s="81"/>
      <c r="N37" s="81"/>
      <c r="O37" s="81"/>
    </row>
    <row r="38" spans="1:15">
      <c r="A38" s="81"/>
      <c r="B38" s="81"/>
      <c r="C38" s="81"/>
      <c r="D38" s="124"/>
      <c r="E38" s="81"/>
      <c r="F38" s="81"/>
      <c r="G38" s="101"/>
      <c r="H38" s="81"/>
      <c r="I38" s="81"/>
      <c r="J38" s="81"/>
      <c r="K38" s="81"/>
      <c r="L38" s="81"/>
      <c r="M38" s="81"/>
      <c r="N38" s="81"/>
      <c r="O38" s="81"/>
    </row>
    <row r="39" spans="1:15">
      <c r="A39" s="81"/>
      <c r="B39" s="81"/>
      <c r="C39" s="81"/>
      <c r="D39" s="124"/>
      <c r="E39" s="81"/>
      <c r="F39" s="81"/>
      <c r="G39" s="101"/>
      <c r="H39" s="81"/>
      <c r="I39" s="81"/>
      <c r="J39" s="81"/>
      <c r="K39" s="81"/>
      <c r="L39" s="81"/>
      <c r="M39" s="81"/>
      <c r="N39" s="81"/>
      <c r="O39" s="81"/>
    </row>
    <row r="40" spans="1:15">
      <c r="A40" s="81"/>
      <c r="B40" s="81"/>
      <c r="C40" s="81"/>
      <c r="D40" s="123"/>
      <c r="E40" s="81"/>
      <c r="F40" s="81"/>
      <c r="G40" s="101"/>
      <c r="H40" s="81"/>
      <c r="I40" s="81"/>
      <c r="J40" s="81"/>
      <c r="K40" s="81"/>
      <c r="L40" s="81"/>
      <c r="M40" s="81"/>
      <c r="N40" s="81"/>
      <c r="O40" s="81"/>
    </row>
    <row r="41" spans="1:15">
      <c r="A41" s="81"/>
      <c r="B41" s="81"/>
      <c r="C41" s="81"/>
      <c r="D41" s="81"/>
      <c r="E41" s="81"/>
      <c r="F41" s="125"/>
      <c r="G41" s="101"/>
      <c r="H41" s="81"/>
      <c r="I41" s="81"/>
      <c r="J41" s="81"/>
      <c r="K41" s="81"/>
      <c r="L41" s="81"/>
      <c r="M41" s="81"/>
      <c r="N41" s="81"/>
      <c r="O41" s="81"/>
    </row>
    <row r="42" spans="1:15">
      <c r="A42" s="81"/>
      <c r="B42" s="81"/>
      <c r="C42" s="126"/>
      <c r="D42" s="81"/>
      <c r="E42" s="81"/>
      <c r="F42" s="81"/>
      <c r="G42" s="81"/>
      <c r="H42" s="81"/>
      <c r="I42" s="81"/>
      <c r="J42" s="81"/>
      <c r="K42" s="81"/>
      <c r="L42" s="81"/>
      <c r="M42" s="81"/>
      <c r="N42" s="81"/>
      <c r="O42" s="81"/>
    </row>
  </sheetData>
  <sheetProtection selectLockedCells="1"/>
  <dataValidations count="1">
    <dataValidation type="list" allowBlank="1" showInputMessage="1" showErrorMessage="1" sqref="C24" xr:uid="{5065650D-7846-46EF-B9A5-2F6F9DD59276}">
      <formula1>"January, February, March, April, May, June, July, August, September, October, November, December"</formula1>
    </dataValidation>
  </dataValidation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538F-8F30-4226-AA3E-B3024EF04B67}">
  <dimension ref="B2:O34"/>
  <sheetViews>
    <sheetView topLeftCell="B14" workbookViewId="0">
      <selection activeCell="I22" sqref="I22"/>
    </sheetView>
  </sheetViews>
  <sheetFormatPr defaultRowHeight="15" customHeight="1"/>
  <cols>
    <col min="2" max="4" width="13.453125" customWidth="1"/>
    <col min="5" max="5" width="16" customWidth="1"/>
    <col min="6" max="6" width="10.453125" customWidth="1"/>
    <col min="7" max="7" width="14.54296875" customWidth="1"/>
    <col min="8" max="8" width="13.36328125" customWidth="1"/>
    <col min="9" max="9" width="16.6328125" customWidth="1"/>
    <col min="10" max="10" width="14.1796875" customWidth="1"/>
    <col min="11" max="11" width="15.7265625" customWidth="1"/>
    <col min="12" max="12" width="16.81640625" customWidth="1"/>
    <col min="13" max="13" width="13.90625" customWidth="1"/>
    <col min="14" max="14" width="10.7265625" customWidth="1"/>
    <col min="15" max="15" width="14.36328125" customWidth="1"/>
  </cols>
  <sheetData>
    <row r="2" spans="2:15" ht="14.5">
      <c r="B2" t="s">
        <v>89</v>
      </c>
      <c r="I2" s="115">
        <v>45108</v>
      </c>
      <c r="J2" s="115">
        <v>45473</v>
      </c>
      <c r="K2">
        <f>(_xlfn.DAYS(J2,I2))+1</f>
        <v>366</v>
      </c>
    </row>
    <row r="3" spans="2:15" ht="47" customHeight="1" thickBot="1">
      <c r="B3" t="s">
        <v>90</v>
      </c>
      <c r="E3" s="111" t="s">
        <v>105</v>
      </c>
      <c r="F3" s="111" t="s">
        <v>110</v>
      </c>
      <c r="G3" s="111" t="s">
        <v>109</v>
      </c>
      <c r="H3" s="111" t="s">
        <v>108</v>
      </c>
      <c r="I3" s="111" t="s">
        <v>111</v>
      </c>
      <c r="J3" t="s">
        <v>106</v>
      </c>
      <c r="K3" t="s">
        <v>107</v>
      </c>
      <c r="L3" t="s">
        <v>91</v>
      </c>
      <c r="M3" s="111" t="s">
        <v>92</v>
      </c>
      <c r="N3" s="111" t="s">
        <v>93</v>
      </c>
      <c r="O3" t="s">
        <v>59</v>
      </c>
    </row>
    <row r="4" spans="2:15" ht="14.5">
      <c r="B4" t="s">
        <v>94</v>
      </c>
      <c r="C4" s="115">
        <v>45108</v>
      </c>
      <c r="D4" s="115">
        <v>45138</v>
      </c>
      <c r="E4">
        <f>(_xlfn.DAYS(D4,C4))+1</f>
        <v>31</v>
      </c>
      <c r="F4">
        <f>E17</f>
        <v>274</v>
      </c>
      <c r="G4">
        <f t="shared" ref="G4:G15" si="0">$E$17-F4</f>
        <v>0</v>
      </c>
      <c r="H4">
        <f>E4+E5+E15</f>
        <v>92</v>
      </c>
      <c r="I4">
        <v>0</v>
      </c>
      <c r="J4" s="113">
        <f>0</f>
        <v>0</v>
      </c>
      <c r="K4" s="113">
        <f>'Salary Guide '!$C$23</f>
        <v>3.5000000000000003E-2</v>
      </c>
      <c r="L4" s="117">
        <f t="shared" ref="L4:L15" si="1">((F4*J4)+(G4*K4))/$E$17</f>
        <v>0</v>
      </c>
      <c r="M4" s="113">
        <v>0</v>
      </c>
      <c r="N4" s="113">
        <f>'Salary Guide '!$C$23</f>
        <v>3.5000000000000003E-2</v>
      </c>
      <c r="O4" s="121">
        <f>((H4*M4)+(I4*N4))/$E$18</f>
        <v>0</v>
      </c>
    </row>
    <row r="5" spans="2:15" ht="14.5">
      <c r="B5" t="s">
        <v>95</v>
      </c>
      <c r="C5" s="115">
        <v>45139</v>
      </c>
      <c r="D5" s="115">
        <v>45169</v>
      </c>
      <c r="E5">
        <f t="shared" ref="E5:E15" si="2">(_xlfn.DAYS(D5,C5))+1</f>
        <v>31</v>
      </c>
      <c r="F5">
        <f>$E$17</f>
        <v>274</v>
      </c>
      <c r="G5">
        <f t="shared" si="0"/>
        <v>0</v>
      </c>
      <c r="H5">
        <f>E5+E15</f>
        <v>61</v>
      </c>
      <c r="I5">
        <f>E4</f>
        <v>31</v>
      </c>
      <c r="J5" s="113">
        <f>0</f>
        <v>0</v>
      </c>
      <c r="K5" s="113">
        <f>'Salary Guide '!$C$23</f>
        <v>3.5000000000000003E-2</v>
      </c>
      <c r="L5" s="118">
        <f t="shared" si="1"/>
        <v>0</v>
      </c>
      <c r="M5" s="113">
        <v>0</v>
      </c>
      <c r="N5" s="113">
        <f>'Salary Guide '!$C$23</f>
        <v>3.5000000000000003E-2</v>
      </c>
      <c r="O5" s="121">
        <f>((2*M5)+(1*N5))/3</f>
        <v>1.1666666666666667E-2</v>
      </c>
    </row>
    <row r="6" spans="2:15" ht="14.5">
      <c r="B6" t="s">
        <v>96</v>
      </c>
      <c r="C6" s="115">
        <v>45170</v>
      </c>
      <c r="D6" s="115">
        <v>45199</v>
      </c>
      <c r="E6">
        <f t="shared" si="2"/>
        <v>30</v>
      </c>
      <c r="F6">
        <f t="shared" ref="F6" si="3">$E$17</f>
        <v>274</v>
      </c>
      <c r="G6">
        <f t="shared" si="0"/>
        <v>0</v>
      </c>
      <c r="H6">
        <f>$E$15</f>
        <v>30</v>
      </c>
      <c r="I6">
        <f>$E$4+$E$5</f>
        <v>62</v>
      </c>
      <c r="J6" s="113">
        <f>0</f>
        <v>0</v>
      </c>
      <c r="K6" s="113">
        <f>'Salary Guide '!$C$23</f>
        <v>3.5000000000000003E-2</v>
      </c>
      <c r="L6" s="118">
        <f t="shared" si="1"/>
        <v>0</v>
      </c>
      <c r="M6" s="113">
        <v>0</v>
      </c>
      <c r="N6" s="113">
        <f>'Salary Guide '!$C$23</f>
        <v>3.5000000000000003E-2</v>
      </c>
      <c r="O6" s="121">
        <f>((1*M6)+(2*N6))/3</f>
        <v>2.3333333333333334E-2</v>
      </c>
    </row>
    <row r="7" spans="2:15" ht="14.5">
      <c r="B7" t="s">
        <v>97</v>
      </c>
      <c r="C7" s="115">
        <v>45200</v>
      </c>
      <c r="D7" s="115">
        <v>45230</v>
      </c>
      <c r="E7">
        <f t="shared" si="2"/>
        <v>31</v>
      </c>
      <c r="F7">
        <f>$E$17-E6</f>
        <v>244</v>
      </c>
      <c r="G7">
        <f t="shared" si="0"/>
        <v>30</v>
      </c>
      <c r="H7">
        <f t="shared" ref="H7:H14" si="4">$E$15</f>
        <v>30</v>
      </c>
      <c r="I7">
        <f t="shared" ref="I7:I15" si="5">$E$4+$E$5</f>
        <v>62</v>
      </c>
      <c r="J7" s="113">
        <f>0</f>
        <v>0</v>
      </c>
      <c r="K7" s="113">
        <f>'Salary Guide '!$C$23</f>
        <v>3.5000000000000003E-2</v>
      </c>
      <c r="L7" s="119">
        <f>((F7*J7)+(G7*K7))/$E$17</f>
        <v>3.8321167883211679E-3</v>
      </c>
      <c r="M7" s="113">
        <v>0</v>
      </c>
      <c r="N7" s="113">
        <f>'Salary Guide '!$C$23</f>
        <v>3.5000000000000003E-2</v>
      </c>
      <c r="O7" s="121">
        <f t="shared" ref="O7:O15" si="6">((1*M7)+(2*N7))/3</f>
        <v>2.3333333333333334E-2</v>
      </c>
    </row>
    <row r="8" spans="2:15" ht="14.5">
      <c r="B8" t="s">
        <v>98</v>
      </c>
      <c r="C8" s="115">
        <v>45231</v>
      </c>
      <c r="D8" s="115">
        <v>45260</v>
      </c>
      <c r="E8">
        <f t="shared" si="2"/>
        <v>30</v>
      </c>
      <c r="F8">
        <f>F7-E7</f>
        <v>213</v>
      </c>
      <c r="G8">
        <f t="shared" si="0"/>
        <v>61</v>
      </c>
      <c r="H8">
        <f t="shared" si="4"/>
        <v>30</v>
      </c>
      <c r="I8">
        <f t="shared" si="5"/>
        <v>62</v>
      </c>
      <c r="J8" s="113">
        <f>0</f>
        <v>0</v>
      </c>
      <c r="K8" s="113">
        <f>'Salary Guide '!$C$23</f>
        <v>3.5000000000000003E-2</v>
      </c>
      <c r="L8" s="119">
        <f t="shared" si="1"/>
        <v>7.7919708029197086E-3</v>
      </c>
      <c r="M8" s="113">
        <v>0</v>
      </c>
      <c r="N8" s="113">
        <f>'Salary Guide '!$C$23</f>
        <v>3.5000000000000003E-2</v>
      </c>
      <c r="O8" s="121">
        <f t="shared" si="6"/>
        <v>2.3333333333333334E-2</v>
      </c>
    </row>
    <row r="9" spans="2:15" ht="14.5">
      <c r="B9" t="s">
        <v>99</v>
      </c>
      <c r="C9" s="115">
        <v>45261</v>
      </c>
      <c r="D9" s="115">
        <v>45291</v>
      </c>
      <c r="E9">
        <f t="shared" si="2"/>
        <v>31</v>
      </c>
      <c r="F9">
        <f t="shared" ref="F9:F15" si="7">F8-E8</f>
        <v>183</v>
      </c>
      <c r="G9">
        <f t="shared" si="0"/>
        <v>91</v>
      </c>
      <c r="H9">
        <f t="shared" si="4"/>
        <v>30</v>
      </c>
      <c r="I9">
        <f t="shared" si="5"/>
        <v>62</v>
      </c>
      <c r="J9" s="113">
        <f>0</f>
        <v>0</v>
      </c>
      <c r="K9" s="113">
        <f>'Salary Guide '!$C$23</f>
        <v>3.5000000000000003E-2</v>
      </c>
      <c r="L9" s="119">
        <f t="shared" si="1"/>
        <v>1.1624087591240877E-2</v>
      </c>
      <c r="M9" s="113">
        <v>0</v>
      </c>
      <c r="N9" s="113">
        <f>'Salary Guide '!$C$23</f>
        <v>3.5000000000000003E-2</v>
      </c>
      <c r="O9" s="121">
        <f t="shared" si="6"/>
        <v>2.3333333333333334E-2</v>
      </c>
    </row>
    <row r="10" spans="2:15" ht="14.5">
      <c r="B10" t="s">
        <v>58</v>
      </c>
      <c r="C10" s="115">
        <v>45292</v>
      </c>
      <c r="D10" s="115">
        <v>45322</v>
      </c>
      <c r="E10">
        <f t="shared" si="2"/>
        <v>31</v>
      </c>
      <c r="F10">
        <f t="shared" si="7"/>
        <v>152</v>
      </c>
      <c r="G10">
        <f t="shared" si="0"/>
        <v>122</v>
      </c>
      <c r="H10">
        <f t="shared" si="4"/>
        <v>30</v>
      </c>
      <c r="I10">
        <f t="shared" si="5"/>
        <v>62</v>
      </c>
      <c r="J10" s="113">
        <f>0</f>
        <v>0</v>
      </c>
      <c r="K10" s="113">
        <f>'Salary Guide '!$C$23</f>
        <v>3.5000000000000003E-2</v>
      </c>
      <c r="L10" s="119">
        <f t="shared" si="1"/>
        <v>1.5583941605839417E-2</v>
      </c>
      <c r="M10" s="113">
        <v>0</v>
      </c>
      <c r="N10" s="113">
        <f>'Salary Guide '!$C$23</f>
        <v>3.5000000000000003E-2</v>
      </c>
      <c r="O10" s="121">
        <f t="shared" si="6"/>
        <v>2.3333333333333334E-2</v>
      </c>
    </row>
    <row r="11" spans="2:15" ht="14.5">
      <c r="B11" t="s">
        <v>100</v>
      </c>
      <c r="C11" s="115">
        <v>45323</v>
      </c>
      <c r="D11" s="115">
        <v>45351</v>
      </c>
      <c r="E11">
        <f t="shared" si="2"/>
        <v>29</v>
      </c>
      <c r="F11">
        <f t="shared" si="7"/>
        <v>121</v>
      </c>
      <c r="G11">
        <f t="shared" si="0"/>
        <v>153</v>
      </c>
      <c r="H11">
        <f t="shared" si="4"/>
        <v>30</v>
      </c>
      <c r="I11">
        <f t="shared" si="5"/>
        <v>62</v>
      </c>
      <c r="J11" s="113">
        <f>0</f>
        <v>0</v>
      </c>
      <c r="K11" s="113">
        <f>'Salary Guide '!$C$23</f>
        <v>3.5000000000000003E-2</v>
      </c>
      <c r="L11" s="119">
        <f t="shared" si="1"/>
        <v>1.9543795620437957E-2</v>
      </c>
      <c r="M11" s="113">
        <v>0</v>
      </c>
      <c r="N11" s="113">
        <f>'Salary Guide '!$C$23</f>
        <v>3.5000000000000003E-2</v>
      </c>
      <c r="O11" s="121">
        <f t="shared" si="6"/>
        <v>2.3333333333333334E-2</v>
      </c>
    </row>
    <row r="12" spans="2:15" ht="14.5">
      <c r="B12" t="s">
        <v>101</v>
      </c>
      <c r="C12" s="115">
        <v>45352</v>
      </c>
      <c r="D12" s="115">
        <v>45382</v>
      </c>
      <c r="E12">
        <f t="shared" si="2"/>
        <v>31</v>
      </c>
      <c r="F12">
        <f t="shared" si="7"/>
        <v>92</v>
      </c>
      <c r="G12">
        <f t="shared" si="0"/>
        <v>182</v>
      </c>
      <c r="H12">
        <f t="shared" si="4"/>
        <v>30</v>
      </c>
      <c r="I12">
        <f t="shared" si="5"/>
        <v>62</v>
      </c>
      <c r="J12" s="113">
        <f>0</f>
        <v>0</v>
      </c>
      <c r="K12" s="113">
        <f>'Salary Guide '!$C$23</f>
        <v>3.5000000000000003E-2</v>
      </c>
      <c r="L12" s="119">
        <f t="shared" si="1"/>
        <v>2.3248175182481755E-2</v>
      </c>
      <c r="M12" s="113">
        <v>0</v>
      </c>
      <c r="N12" s="113">
        <f>'Salary Guide '!$C$23</f>
        <v>3.5000000000000003E-2</v>
      </c>
      <c r="O12" s="121">
        <f t="shared" si="6"/>
        <v>2.3333333333333334E-2</v>
      </c>
    </row>
    <row r="13" spans="2:15" ht="14.5">
      <c r="B13" t="s">
        <v>102</v>
      </c>
      <c r="C13" s="115">
        <v>45383</v>
      </c>
      <c r="D13" s="115">
        <v>45412</v>
      </c>
      <c r="E13">
        <f t="shared" si="2"/>
        <v>30</v>
      </c>
      <c r="F13">
        <f t="shared" si="7"/>
        <v>61</v>
      </c>
      <c r="G13">
        <f t="shared" si="0"/>
        <v>213</v>
      </c>
      <c r="H13">
        <f t="shared" si="4"/>
        <v>30</v>
      </c>
      <c r="I13">
        <f t="shared" si="5"/>
        <v>62</v>
      </c>
      <c r="J13" s="113">
        <f>0</f>
        <v>0</v>
      </c>
      <c r="K13" s="113">
        <f>'Salary Guide '!$C$23</f>
        <v>3.5000000000000003E-2</v>
      </c>
      <c r="L13" s="119">
        <f t="shared" si="1"/>
        <v>2.7208029197080295E-2</v>
      </c>
      <c r="M13" s="113">
        <v>0</v>
      </c>
      <c r="N13" s="113">
        <f>'Salary Guide '!$C$23</f>
        <v>3.5000000000000003E-2</v>
      </c>
      <c r="O13" s="121">
        <f t="shared" si="6"/>
        <v>2.3333333333333334E-2</v>
      </c>
    </row>
    <row r="14" spans="2:15" ht="14.5">
      <c r="B14" t="s">
        <v>103</v>
      </c>
      <c r="C14" s="115">
        <v>45413</v>
      </c>
      <c r="D14" s="115">
        <v>45443</v>
      </c>
      <c r="E14">
        <f t="shared" si="2"/>
        <v>31</v>
      </c>
      <c r="F14">
        <f t="shared" si="7"/>
        <v>31</v>
      </c>
      <c r="G14">
        <f t="shared" si="0"/>
        <v>243</v>
      </c>
      <c r="H14">
        <f t="shared" si="4"/>
        <v>30</v>
      </c>
      <c r="I14">
        <f t="shared" si="5"/>
        <v>62</v>
      </c>
      <c r="J14" s="113">
        <f>0</f>
        <v>0</v>
      </c>
      <c r="K14" s="113">
        <f>'Salary Guide '!$C$23</f>
        <v>3.5000000000000003E-2</v>
      </c>
      <c r="L14" s="119">
        <f t="shared" si="1"/>
        <v>3.1040145985401463E-2</v>
      </c>
      <c r="M14" s="113">
        <v>0</v>
      </c>
      <c r="N14" s="113">
        <f>'Salary Guide '!$C$23</f>
        <v>3.5000000000000003E-2</v>
      </c>
      <c r="O14" s="121">
        <f t="shared" si="6"/>
        <v>2.3333333333333334E-2</v>
      </c>
    </row>
    <row r="15" spans="2:15" thickBot="1">
      <c r="B15" t="s">
        <v>104</v>
      </c>
      <c r="C15" s="115">
        <v>45444</v>
      </c>
      <c r="D15" s="115">
        <v>45473</v>
      </c>
      <c r="E15" s="75">
        <f t="shared" si="2"/>
        <v>30</v>
      </c>
      <c r="F15">
        <f t="shared" si="7"/>
        <v>0</v>
      </c>
      <c r="G15">
        <f t="shared" si="0"/>
        <v>274</v>
      </c>
      <c r="H15">
        <f>E15</f>
        <v>30</v>
      </c>
      <c r="I15">
        <f t="shared" si="5"/>
        <v>62</v>
      </c>
      <c r="J15" s="113">
        <f>0</f>
        <v>0</v>
      </c>
      <c r="K15" s="113">
        <f>'Salary Guide '!$C$23</f>
        <v>3.5000000000000003E-2</v>
      </c>
      <c r="L15" s="120">
        <f t="shared" si="1"/>
        <v>3.5000000000000003E-2</v>
      </c>
      <c r="M15" s="113">
        <v>0</v>
      </c>
      <c r="N15" s="113">
        <f>'Salary Guide '!$C$23</f>
        <v>3.5000000000000003E-2</v>
      </c>
      <c r="O15" s="121">
        <f t="shared" si="6"/>
        <v>2.3333333333333334E-2</v>
      </c>
    </row>
    <row r="16" spans="2:15" ht="15" customHeight="1">
      <c r="E16">
        <f>SUM(E4:E15)</f>
        <v>366</v>
      </c>
    </row>
    <row r="17" spans="2:10" ht="15" customHeight="1">
      <c r="B17" t="s">
        <v>112</v>
      </c>
      <c r="E17">
        <f>E16-E4-E5-E15</f>
        <v>274</v>
      </c>
    </row>
    <row r="18" spans="2:10" ht="15" customHeight="1">
      <c r="B18" t="s">
        <v>113</v>
      </c>
      <c r="E18">
        <f>E4+E5+E15</f>
        <v>92</v>
      </c>
    </row>
    <row r="19" spans="2:10" ht="15" customHeight="1">
      <c r="I19" s="121"/>
    </row>
    <row r="20" spans="2:10" ht="0.5" customHeight="1"/>
    <row r="21" spans="2:10" ht="33" customHeight="1" thickBot="1">
      <c r="B21" t="s">
        <v>90</v>
      </c>
      <c r="E21" s="111" t="s">
        <v>105</v>
      </c>
      <c r="F21" s="111" t="s">
        <v>126</v>
      </c>
      <c r="G21" s="111" t="s">
        <v>127</v>
      </c>
      <c r="H21" t="s">
        <v>128</v>
      </c>
      <c r="I21" t="s">
        <v>129</v>
      </c>
      <c r="J21" t="s">
        <v>130</v>
      </c>
    </row>
    <row r="22" spans="2:10" ht="15" customHeight="1" thickBot="1">
      <c r="B22" t="s">
        <v>94</v>
      </c>
      <c r="C22" s="115">
        <v>45108</v>
      </c>
      <c r="D22" s="115">
        <v>45138</v>
      </c>
      <c r="E22">
        <f>(_xlfn.DAYS(D22,C22))+1</f>
        <v>31</v>
      </c>
      <c r="F22">
        <f>$E$34</f>
        <v>366</v>
      </c>
      <c r="G22">
        <f>$E$34-F22</f>
        <v>0</v>
      </c>
      <c r="H22" s="113">
        <f>0</f>
        <v>0</v>
      </c>
      <c r="I22" s="113">
        <f>'Salary Guide '!$C$23</f>
        <v>3.5000000000000003E-2</v>
      </c>
      <c r="J22" s="117">
        <f>((F22*H22)+(G22*I22))/$E$34</f>
        <v>0</v>
      </c>
    </row>
    <row r="23" spans="2:10" ht="15" customHeight="1" thickBot="1">
      <c r="B23" t="s">
        <v>95</v>
      </c>
      <c r="C23" s="115">
        <v>45139</v>
      </c>
      <c r="D23" s="115">
        <v>45169</v>
      </c>
      <c r="E23">
        <f t="shared" ref="E23:E33" si="8">(_xlfn.DAYS(D23,C23))+1</f>
        <v>31</v>
      </c>
      <c r="F23">
        <f>F22-E22</f>
        <v>335</v>
      </c>
      <c r="G23">
        <f t="shared" ref="G23:G33" si="9">$E$34-F23</f>
        <v>31</v>
      </c>
      <c r="H23" s="113">
        <f>0</f>
        <v>0</v>
      </c>
      <c r="I23" s="113">
        <f>'Salary Guide '!$C$23</f>
        <v>3.5000000000000003E-2</v>
      </c>
      <c r="J23" s="117">
        <f t="shared" ref="J23:J33" si="10">((F23*H23)+(G23*I23))/$E$34</f>
        <v>2.9644808743169403E-3</v>
      </c>
    </row>
    <row r="24" spans="2:10" ht="15" customHeight="1" thickBot="1">
      <c r="B24" t="s">
        <v>96</v>
      </c>
      <c r="C24" s="115">
        <v>45170</v>
      </c>
      <c r="D24" s="115">
        <v>45199</v>
      </c>
      <c r="E24">
        <f t="shared" si="8"/>
        <v>30</v>
      </c>
      <c r="F24">
        <f t="shared" ref="F24:F33" si="11">F23-E23</f>
        <v>304</v>
      </c>
      <c r="G24">
        <f t="shared" si="9"/>
        <v>62</v>
      </c>
      <c r="H24" s="113">
        <f>0</f>
        <v>0</v>
      </c>
      <c r="I24" s="113">
        <f>'Salary Guide '!$C$23</f>
        <v>3.5000000000000003E-2</v>
      </c>
      <c r="J24" s="117">
        <f t="shared" si="10"/>
        <v>5.9289617486338805E-3</v>
      </c>
    </row>
    <row r="25" spans="2:10" ht="15" customHeight="1" thickBot="1">
      <c r="B25" t="s">
        <v>97</v>
      </c>
      <c r="C25" s="115">
        <v>45200</v>
      </c>
      <c r="D25" s="115">
        <v>45230</v>
      </c>
      <c r="E25">
        <f t="shared" si="8"/>
        <v>31</v>
      </c>
      <c r="F25">
        <f t="shared" si="11"/>
        <v>274</v>
      </c>
      <c r="G25">
        <f t="shared" si="9"/>
        <v>92</v>
      </c>
      <c r="H25" s="113">
        <f>0</f>
        <v>0</v>
      </c>
      <c r="I25" s="113">
        <f>'Salary Guide '!$C$23</f>
        <v>3.5000000000000003E-2</v>
      </c>
      <c r="J25" s="117">
        <f t="shared" si="10"/>
        <v>8.797814207650273E-3</v>
      </c>
    </row>
    <row r="26" spans="2:10" ht="15" customHeight="1" thickBot="1">
      <c r="B26" t="s">
        <v>98</v>
      </c>
      <c r="C26" s="115">
        <v>45231</v>
      </c>
      <c r="D26" s="115">
        <v>45260</v>
      </c>
      <c r="E26">
        <f t="shared" si="8"/>
        <v>30</v>
      </c>
      <c r="F26">
        <f t="shared" si="11"/>
        <v>243</v>
      </c>
      <c r="G26">
        <f t="shared" si="9"/>
        <v>123</v>
      </c>
      <c r="H26" s="113">
        <f>0</f>
        <v>0</v>
      </c>
      <c r="I26" s="113">
        <f>'Salary Guide '!$C$23</f>
        <v>3.5000000000000003E-2</v>
      </c>
      <c r="J26" s="117">
        <f t="shared" si="10"/>
        <v>1.1762295081967215E-2</v>
      </c>
    </row>
    <row r="27" spans="2:10" ht="15" customHeight="1" thickBot="1">
      <c r="B27" t="s">
        <v>99</v>
      </c>
      <c r="C27" s="115">
        <v>45261</v>
      </c>
      <c r="D27" s="115">
        <v>45291</v>
      </c>
      <c r="E27">
        <f t="shared" si="8"/>
        <v>31</v>
      </c>
      <c r="F27">
        <f t="shared" si="11"/>
        <v>213</v>
      </c>
      <c r="G27">
        <f t="shared" si="9"/>
        <v>153</v>
      </c>
      <c r="H27" s="113">
        <f>0</f>
        <v>0</v>
      </c>
      <c r="I27" s="113">
        <f>'Salary Guide '!$C$23</f>
        <v>3.5000000000000003E-2</v>
      </c>
      <c r="J27" s="117">
        <f t="shared" si="10"/>
        <v>1.4631147540983607E-2</v>
      </c>
    </row>
    <row r="28" spans="2:10" ht="15" customHeight="1" thickBot="1">
      <c r="B28" t="s">
        <v>58</v>
      </c>
      <c r="C28" s="115">
        <v>45292</v>
      </c>
      <c r="D28" s="115">
        <v>45322</v>
      </c>
      <c r="E28">
        <f t="shared" si="8"/>
        <v>31</v>
      </c>
      <c r="F28">
        <f t="shared" si="11"/>
        <v>182</v>
      </c>
      <c r="G28">
        <f t="shared" si="9"/>
        <v>184</v>
      </c>
      <c r="H28" s="113">
        <f>0</f>
        <v>0</v>
      </c>
      <c r="I28" s="113">
        <f>'Salary Guide '!$C$23</f>
        <v>3.5000000000000003E-2</v>
      </c>
      <c r="J28" s="117">
        <f t="shared" si="10"/>
        <v>1.7595628415300546E-2</v>
      </c>
    </row>
    <row r="29" spans="2:10" ht="15" customHeight="1" thickBot="1">
      <c r="B29" t="s">
        <v>100</v>
      </c>
      <c r="C29" s="115">
        <v>45323</v>
      </c>
      <c r="D29" s="115">
        <v>45351</v>
      </c>
      <c r="E29">
        <f t="shared" si="8"/>
        <v>29</v>
      </c>
      <c r="F29">
        <f t="shared" si="11"/>
        <v>151</v>
      </c>
      <c r="G29">
        <f t="shared" si="9"/>
        <v>215</v>
      </c>
      <c r="H29" s="113">
        <f>0</f>
        <v>0</v>
      </c>
      <c r="I29" s="113">
        <f>'Salary Guide '!$C$23</f>
        <v>3.5000000000000003E-2</v>
      </c>
      <c r="J29" s="117">
        <f t="shared" si="10"/>
        <v>2.0560109289617486E-2</v>
      </c>
    </row>
    <row r="30" spans="2:10" ht="15" customHeight="1" thickBot="1">
      <c r="B30" t="s">
        <v>101</v>
      </c>
      <c r="C30" s="115">
        <v>45352</v>
      </c>
      <c r="D30" s="115">
        <v>45382</v>
      </c>
      <c r="E30">
        <f t="shared" si="8"/>
        <v>31</v>
      </c>
      <c r="F30">
        <f t="shared" si="11"/>
        <v>122</v>
      </c>
      <c r="G30">
        <f t="shared" si="9"/>
        <v>244</v>
      </c>
      <c r="H30" s="113">
        <f>0</f>
        <v>0</v>
      </c>
      <c r="I30" s="113">
        <f>'Salary Guide '!$C$23</f>
        <v>3.5000000000000003E-2</v>
      </c>
      <c r="J30" s="117">
        <f t="shared" si="10"/>
        <v>2.3333333333333334E-2</v>
      </c>
    </row>
    <row r="31" spans="2:10" ht="15" customHeight="1" thickBot="1">
      <c r="B31" t="s">
        <v>102</v>
      </c>
      <c r="C31" s="115">
        <v>45383</v>
      </c>
      <c r="D31" s="115">
        <v>45412</v>
      </c>
      <c r="E31">
        <f t="shared" si="8"/>
        <v>30</v>
      </c>
      <c r="F31">
        <f t="shared" si="11"/>
        <v>91</v>
      </c>
      <c r="G31">
        <f t="shared" si="9"/>
        <v>275</v>
      </c>
      <c r="H31" s="113">
        <f>0</f>
        <v>0</v>
      </c>
      <c r="I31" s="113">
        <f>'Salary Guide '!$C$23</f>
        <v>3.5000000000000003E-2</v>
      </c>
      <c r="J31" s="117">
        <f t="shared" si="10"/>
        <v>2.6297814207650278E-2</v>
      </c>
    </row>
    <row r="32" spans="2:10" ht="15" customHeight="1" thickBot="1">
      <c r="B32" t="s">
        <v>103</v>
      </c>
      <c r="C32" s="115">
        <v>45413</v>
      </c>
      <c r="D32" s="115">
        <v>45443</v>
      </c>
      <c r="E32">
        <f t="shared" si="8"/>
        <v>31</v>
      </c>
      <c r="F32">
        <f t="shared" si="11"/>
        <v>61</v>
      </c>
      <c r="G32">
        <f t="shared" si="9"/>
        <v>305</v>
      </c>
      <c r="H32" s="113">
        <f>0</f>
        <v>0</v>
      </c>
      <c r="I32" s="113">
        <f>'Salary Guide '!$C$23</f>
        <v>3.5000000000000003E-2</v>
      </c>
      <c r="J32" s="117">
        <f t="shared" si="10"/>
        <v>2.9166666666666667E-2</v>
      </c>
    </row>
    <row r="33" spans="2:10" ht="15" customHeight="1">
      <c r="B33" t="s">
        <v>104</v>
      </c>
      <c r="C33" s="115">
        <v>45444</v>
      </c>
      <c r="D33" s="115">
        <v>45473</v>
      </c>
      <c r="E33" s="75">
        <f t="shared" si="8"/>
        <v>30</v>
      </c>
      <c r="F33">
        <f t="shared" si="11"/>
        <v>30</v>
      </c>
      <c r="G33">
        <f t="shared" si="9"/>
        <v>336</v>
      </c>
      <c r="H33" s="113">
        <f>0</f>
        <v>0</v>
      </c>
      <c r="I33" s="113">
        <f>'Salary Guide '!$C$23</f>
        <v>3.5000000000000003E-2</v>
      </c>
      <c r="J33" s="117">
        <f t="shared" si="10"/>
        <v>3.2131147540983611E-2</v>
      </c>
    </row>
    <row r="34" spans="2:10" ht="15" customHeight="1">
      <c r="B34" t="s">
        <v>125</v>
      </c>
      <c r="E34">
        <f>SUM(E22:E33)</f>
        <v>366</v>
      </c>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zoomScale="115" zoomScaleNormal="115" workbookViewId="0">
      <selection activeCell="A30" sqref="A30"/>
    </sheetView>
  </sheetViews>
  <sheetFormatPr defaultColWidth="8.81640625" defaultRowHeight="14.5"/>
  <cols>
    <col min="1" max="1" width="28.81640625" customWidth="1"/>
    <col min="2" max="2" width="14.81640625" customWidth="1"/>
    <col min="3" max="3" width="13.453125" customWidth="1"/>
    <col min="4" max="4" width="12.7265625" customWidth="1"/>
    <col min="5" max="5" width="14.1796875" customWidth="1"/>
    <col min="6" max="6" width="13.453125" customWidth="1"/>
    <col min="7" max="7" width="13.54296875" customWidth="1"/>
    <col min="8" max="8" width="13.453125" customWidth="1"/>
    <col min="9" max="9" width="14.81640625" customWidth="1"/>
    <col min="10" max="10" width="6.26953125" customWidth="1"/>
    <col min="11" max="11" width="21.7265625" customWidth="1"/>
    <col min="12" max="12" width="10.1796875" bestFit="1" customWidth="1"/>
  </cols>
  <sheetData>
    <row r="1" spans="1:13" ht="26">
      <c r="A1" s="5" t="s">
        <v>24</v>
      </c>
      <c r="E1" s="1" t="s">
        <v>123</v>
      </c>
      <c r="F1" t="s">
        <v>139</v>
      </c>
    </row>
    <row r="2" spans="1:13" ht="26">
      <c r="A2" s="5"/>
      <c r="E2" s="1"/>
    </row>
    <row r="3" spans="1:13">
      <c r="A3" s="1" t="s">
        <v>2</v>
      </c>
    </row>
    <row r="4" spans="1:13">
      <c r="A4" t="s">
        <v>3</v>
      </c>
      <c r="D4" s="32" t="s">
        <v>19</v>
      </c>
    </row>
    <row r="5" spans="1:13">
      <c r="A5" s="1" t="s">
        <v>4</v>
      </c>
      <c r="B5" s="1" t="s">
        <v>5</v>
      </c>
      <c r="C5" s="1"/>
      <c r="D5" s="33" t="s">
        <v>21</v>
      </c>
      <c r="E5" s="1"/>
      <c r="F5" s="1"/>
      <c r="G5" s="1"/>
      <c r="H5" s="1"/>
    </row>
    <row r="6" spans="1:13">
      <c r="A6" s="1" t="s">
        <v>6</v>
      </c>
      <c r="B6" s="1" t="s">
        <v>7</v>
      </c>
      <c r="C6" s="1"/>
      <c r="D6" s="1"/>
      <c r="E6" s="1"/>
      <c r="F6" s="1"/>
      <c r="G6" s="1"/>
      <c r="H6" s="1"/>
    </row>
    <row r="8" spans="1:13">
      <c r="A8" s="6" t="s">
        <v>25</v>
      </c>
      <c r="B8" s="7">
        <v>32.659999999999997</v>
      </c>
      <c r="C8" s="8" t="s">
        <v>1</v>
      </c>
      <c r="D8" s="8"/>
      <c r="E8" s="8"/>
      <c r="F8" s="8"/>
      <c r="G8" s="9"/>
      <c r="H8" s="60"/>
      <c r="I8" s="60"/>
      <c r="J8" s="60"/>
      <c r="K8" s="60"/>
    </row>
    <row r="9" spans="1:13">
      <c r="A9" s="55" t="s">
        <v>26</v>
      </c>
      <c r="B9" s="49">
        <v>32.659999999999997</v>
      </c>
      <c r="C9" s="15"/>
      <c r="D9" s="15"/>
      <c r="E9" s="10"/>
      <c r="F9" s="10"/>
      <c r="G9" s="66"/>
      <c r="H9" s="61"/>
    </row>
    <row r="10" spans="1:13" ht="29">
      <c r="A10" s="2"/>
      <c r="B10" s="11" t="s">
        <v>27</v>
      </c>
      <c r="C10" s="11" t="s">
        <v>28</v>
      </c>
      <c r="D10" s="62" t="s">
        <v>29</v>
      </c>
      <c r="E10" s="30" t="s">
        <v>30</v>
      </c>
      <c r="F10" s="11" t="s">
        <v>31</v>
      </c>
      <c r="G10" s="11" t="s">
        <v>32</v>
      </c>
      <c r="H10" s="30" t="s">
        <v>33</v>
      </c>
      <c r="I10" s="62"/>
      <c r="J10" s="62"/>
    </row>
    <row r="11" spans="1:13">
      <c r="A11" s="3" t="s">
        <v>34</v>
      </c>
      <c r="B11" s="14">
        <v>40</v>
      </c>
      <c r="C11" s="14">
        <v>38</v>
      </c>
      <c r="D11" s="78">
        <v>38</v>
      </c>
      <c r="E11" s="53">
        <f>B9*B11*C11</f>
        <v>49643.199999999997</v>
      </c>
      <c r="F11" s="83">
        <v>20</v>
      </c>
      <c r="G11" s="83">
        <v>38</v>
      </c>
      <c r="H11" s="77">
        <f>(F11*G11)/(B11*D11)</f>
        <v>0.5</v>
      </c>
      <c r="I11" s="63" t="s">
        <v>35</v>
      </c>
      <c r="J11" s="64"/>
      <c r="K11" s="1"/>
      <c r="M11" t="s">
        <v>1</v>
      </c>
    </row>
    <row r="12" spans="1:13">
      <c r="A12" s="3" t="s">
        <v>36</v>
      </c>
      <c r="B12" s="14">
        <v>40</v>
      </c>
      <c r="C12" s="14">
        <v>14</v>
      </c>
      <c r="D12" s="78">
        <v>14</v>
      </c>
      <c r="E12" s="53">
        <f>B12*B9*C12</f>
        <v>18289.599999999999</v>
      </c>
      <c r="F12" s="83">
        <v>20</v>
      </c>
      <c r="G12" s="83">
        <v>14</v>
      </c>
      <c r="H12" s="77">
        <f>(F12*G12)/(B12*D12)</f>
        <v>0.5</v>
      </c>
      <c r="I12" s="67"/>
      <c r="J12" s="64"/>
      <c r="K12" s="1"/>
    </row>
    <row r="13" spans="1:13" ht="13.5" customHeight="1">
      <c r="A13" s="12" t="s">
        <v>37</v>
      </c>
      <c r="B13" s="12"/>
      <c r="C13" s="12"/>
      <c r="E13" s="53">
        <f>E11+E12</f>
        <v>67932.799999999988</v>
      </c>
      <c r="F13" s="13"/>
      <c r="G13" s="13"/>
      <c r="H13" s="31"/>
      <c r="I13" s="65"/>
      <c r="J13" s="1"/>
    </row>
    <row r="14" spans="1:13">
      <c r="A14" s="1" t="s">
        <v>38</v>
      </c>
      <c r="F14" s="1"/>
    </row>
    <row r="15" spans="1:13">
      <c r="A15" s="1" t="s">
        <v>39</v>
      </c>
      <c r="F15" s="1"/>
    </row>
    <row r="16" spans="1:13">
      <c r="A16" s="1" t="s">
        <v>40</v>
      </c>
      <c r="F16" s="1"/>
    </row>
    <row r="17" spans="1:11">
      <c r="A17" s="1" t="s">
        <v>41</v>
      </c>
      <c r="E17" s="1"/>
    </row>
    <row r="18" spans="1:11">
      <c r="A18" s="1" t="s">
        <v>124</v>
      </c>
      <c r="E18" s="1"/>
    </row>
    <row r="19" spans="1:11" ht="24.65" customHeight="1">
      <c r="A19" s="135" t="s">
        <v>42</v>
      </c>
      <c r="B19" s="135"/>
      <c r="C19" s="135"/>
      <c r="D19" s="135"/>
      <c r="E19" s="135"/>
      <c r="F19" s="135"/>
      <c r="G19" s="135"/>
      <c r="H19" s="135"/>
      <c r="I19" s="135"/>
      <c r="J19" s="135"/>
      <c r="K19" s="135"/>
    </row>
    <row r="20" spans="1:11" ht="24.65" customHeight="1">
      <c r="A20" s="86"/>
      <c r="B20" s="86"/>
      <c r="C20" s="86"/>
      <c r="D20" s="86"/>
      <c r="E20" s="86"/>
      <c r="F20" s="86"/>
      <c r="G20" s="86"/>
      <c r="H20" s="86"/>
      <c r="I20" s="86"/>
      <c r="J20" s="86"/>
      <c r="K20" s="86"/>
    </row>
    <row r="21" spans="1:11" ht="30" customHeight="1">
      <c r="A21" s="86"/>
      <c r="B21" s="92" t="s">
        <v>43</v>
      </c>
      <c r="C21" s="95">
        <v>3.5000000000000003E-2</v>
      </c>
      <c r="D21" s="136" t="s">
        <v>44</v>
      </c>
      <c r="E21" s="137"/>
      <c r="F21" s="86"/>
      <c r="G21" s="86"/>
      <c r="H21" s="86"/>
      <c r="I21" s="86"/>
      <c r="J21" s="86"/>
      <c r="K21" s="86"/>
    </row>
    <row r="22" spans="1:11" ht="24.65" customHeight="1">
      <c r="A22" s="87" t="s">
        <v>45</v>
      </c>
      <c r="B22" s="87" t="s">
        <v>46</v>
      </c>
      <c r="C22" s="87" t="s">
        <v>47</v>
      </c>
      <c r="D22" s="87" t="s">
        <v>48</v>
      </c>
      <c r="E22" s="87" t="s">
        <v>49</v>
      </c>
      <c r="F22" s="87" t="s">
        <v>50</v>
      </c>
      <c r="G22" s="87" t="s">
        <v>51</v>
      </c>
      <c r="H22" s="87" t="s">
        <v>52</v>
      </c>
    </row>
    <row r="23" spans="1:11" s="12" customFormat="1" ht="24.65" hidden="1" customHeight="1">
      <c r="A23" s="84" t="s">
        <v>53</v>
      </c>
      <c r="B23" s="85">
        <v>15527</v>
      </c>
    </row>
    <row r="24" spans="1:11" s="12" customFormat="1" ht="24.65" hidden="1" customHeight="1">
      <c r="A24" s="84" t="s">
        <v>54</v>
      </c>
      <c r="B24" s="88">
        <f>B23/760</f>
        <v>20.430263157894736</v>
      </c>
    </row>
    <row r="25" spans="1:11" ht="24.65" customHeight="1">
      <c r="A25" s="33" t="s">
        <v>55</v>
      </c>
      <c r="B25" s="89">
        <f>F11*G11*B24</f>
        <v>15526.999999999998</v>
      </c>
      <c r="C25" s="93">
        <f>B25*(1+$C$21)</f>
        <v>16070.444999999996</v>
      </c>
      <c r="D25" s="94">
        <f t="shared" ref="D25:H25" si="0">C25*(1+$C$21)</f>
        <v>16632.910574999994</v>
      </c>
      <c r="E25" s="94">
        <f t="shared" si="0"/>
        <v>17215.062445124993</v>
      </c>
      <c r="F25" s="94">
        <f t="shared" si="0"/>
        <v>17817.589630704366</v>
      </c>
      <c r="G25" s="94">
        <f t="shared" si="0"/>
        <v>18441.205267779016</v>
      </c>
      <c r="H25" s="94">
        <f t="shared" si="0"/>
        <v>19086.647452151279</v>
      </c>
    </row>
    <row r="29" spans="1:11" ht="42" customHeight="1">
      <c r="A29" s="69" t="s">
        <v>56</v>
      </c>
      <c r="B29" s="138" t="s">
        <v>140</v>
      </c>
      <c r="C29" s="138"/>
      <c r="D29" s="138"/>
      <c r="E29" s="138"/>
      <c r="F29" s="138"/>
      <c r="G29" s="138"/>
      <c r="H29" s="138"/>
      <c r="I29" s="138"/>
      <c r="J29" s="4"/>
    </row>
    <row r="30" spans="1:11">
      <c r="A30" s="72" t="s">
        <v>57</v>
      </c>
      <c r="B30" s="148" t="s">
        <v>94</v>
      </c>
      <c r="J30" s="71"/>
    </row>
    <row r="31" spans="1:11">
      <c r="A31" s="72" t="s">
        <v>121</v>
      </c>
      <c r="B31" s="112">
        <f>VLOOKUP(B30,'COLA Array Grad'!B4:O15,11,FALSE)</f>
        <v>0</v>
      </c>
      <c r="J31" s="71"/>
    </row>
    <row r="32" spans="1:11">
      <c r="A32" s="72" t="s">
        <v>122</v>
      </c>
      <c r="B32" s="112">
        <f>VLOOKUP(B30,'COLA Array Grad'!B4:O15,14,FALSE)</f>
        <v>0</v>
      </c>
      <c r="C32" s="68" t="s">
        <v>114</v>
      </c>
      <c r="D32" s="68" t="s">
        <v>115</v>
      </c>
      <c r="E32" s="68" t="s">
        <v>116</v>
      </c>
      <c r="F32" s="68" t="s">
        <v>117</v>
      </c>
      <c r="G32" s="68" t="s">
        <v>118</v>
      </c>
      <c r="H32" s="68" t="s">
        <v>119</v>
      </c>
      <c r="I32" s="68" t="s">
        <v>120</v>
      </c>
      <c r="J32" s="71"/>
    </row>
    <row r="33" spans="1:10">
      <c r="A33" s="73" t="s">
        <v>60</v>
      </c>
      <c r="C33" s="59">
        <f>E11*H11*(1+$B$31)</f>
        <v>24821.599999999999</v>
      </c>
      <c r="D33" s="59">
        <f>C33*(1+$C$21)</f>
        <v>25690.355999999996</v>
      </c>
      <c r="E33" s="59">
        <f t="shared" ref="E33:I33" si="1">D33*(1+$C$21)</f>
        <v>26589.518459999996</v>
      </c>
      <c r="F33" s="59">
        <f t="shared" si="1"/>
        <v>27520.151606099993</v>
      </c>
      <c r="G33" s="59">
        <f t="shared" si="1"/>
        <v>28483.356912313491</v>
      </c>
      <c r="H33" s="59">
        <f t="shared" si="1"/>
        <v>29480.274404244461</v>
      </c>
      <c r="I33" s="59">
        <f t="shared" si="1"/>
        <v>30512.084008393016</v>
      </c>
      <c r="J33" s="71"/>
    </row>
    <row r="34" spans="1:10">
      <c r="A34" s="73" t="s">
        <v>61</v>
      </c>
      <c r="B34" s="74">
        <v>0.19420000000000001</v>
      </c>
      <c r="C34" s="59">
        <f>C33*$B$34</f>
        <v>4820.3547200000003</v>
      </c>
      <c r="D34" s="59">
        <f t="shared" ref="D34:I34" si="2">D33*$B$34</f>
        <v>4989.0671351999999</v>
      </c>
      <c r="E34" s="59">
        <f t="shared" si="2"/>
        <v>5163.6844849319996</v>
      </c>
      <c r="F34" s="59">
        <f t="shared" si="2"/>
        <v>5344.4134419046186</v>
      </c>
      <c r="G34" s="59">
        <f t="shared" si="2"/>
        <v>5531.4679123712804</v>
      </c>
      <c r="H34" s="59">
        <f t="shared" si="2"/>
        <v>5725.0692893042751</v>
      </c>
      <c r="I34" s="59">
        <f t="shared" si="2"/>
        <v>5925.4467144299242</v>
      </c>
      <c r="J34" s="71"/>
    </row>
    <row r="35" spans="1:10">
      <c r="A35" s="73" t="s">
        <v>62</v>
      </c>
      <c r="C35" s="59">
        <f>E12*H12*(1+$B$32)</f>
        <v>9144.7999999999993</v>
      </c>
      <c r="D35" s="59">
        <f>C35*(1+$C$21)</f>
        <v>9464.8679999999986</v>
      </c>
      <c r="E35" s="59">
        <f t="shared" ref="E35:H35" si="3">D35*(1+$C$21)</f>
        <v>9796.1383799999985</v>
      </c>
      <c r="F35" s="59">
        <f t="shared" si="3"/>
        <v>10139.003223299998</v>
      </c>
      <c r="G35" s="59">
        <f t="shared" si="3"/>
        <v>10493.868336115498</v>
      </c>
      <c r="H35" s="59">
        <f t="shared" si="3"/>
        <v>10861.15372787954</v>
      </c>
      <c r="I35" s="59">
        <f t="shared" ref="I35" si="4">H35*(1+$C$21)</f>
        <v>11241.294108355323</v>
      </c>
      <c r="J35" s="71"/>
    </row>
    <row r="36" spans="1:10">
      <c r="A36" s="73" t="s">
        <v>63</v>
      </c>
      <c r="B36" s="74">
        <v>0.21529999999999999</v>
      </c>
      <c r="C36" s="59">
        <f>C35*$B$36</f>
        <v>1968.8754399999998</v>
      </c>
      <c r="D36" s="59">
        <f t="shared" ref="D36:I36" si="5">D35*$B$36</f>
        <v>2037.7860803999997</v>
      </c>
      <c r="E36" s="59">
        <f t="shared" si="5"/>
        <v>2109.1085932139995</v>
      </c>
      <c r="F36" s="59">
        <f t="shared" si="5"/>
        <v>2182.9273939764894</v>
      </c>
      <c r="G36" s="59">
        <f t="shared" si="5"/>
        <v>2259.3298527656666</v>
      </c>
      <c r="H36" s="59">
        <f t="shared" si="5"/>
        <v>2338.4063976124648</v>
      </c>
      <c r="I36" s="59">
        <f t="shared" si="5"/>
        <v>2420.2506215289009</v>
      </c>
      <c r="J36" s="71"/>
    </row>
    <row r="37" spans="1:10">
      <c r="A37" s="73" t="s">
        <v>64</v>
      </c>
      <c r="C37" s="59">
        <f t="shared" ref="C37:I37" si="6">C33+C34+C35+C36</f>
        <v>40755.630160000001</v>
      </c>
      <c r="D37" s="59">
        <f t="shared" si="6"/>
        <v>42182.077215599995</v>
      </c>
      <c r="E37" s="59">
        <f t="shared" si="6"/>
        <v>43658.449918145991</v>
      </c>
      <c r="F37" s="59">
        <f t="shared" si="6"/>
        <v>45186.495665281102</v>
      </c>
      <c r="G37" s="59">
        <f t="shared" si="6"/>
        <v>46768.023013565937</v>
      </c>
      <c r="H37" s="59">
        <f t="shared" si="6"/>
        <v>48404.903819040737</v>
      </c>
      <c r="I37" s="59">
        <f t="shared" si="6"/>
        <v>50099.075452707169</v>
      </c>
      <c r="J37" s="71"/>
    </row>
    <row r="38" spans="1:10">
      <c r="A38" s="73"/>
      <c r="C38" s="59"/>
      <c r="D38" s="59"/>
      <c r="E38" s="59"/>
      <c r="F38" s="59"/>
      <c r="G38" s="59"/>
      <c r="H38" s="59"/>
      <c r="I38" s="59"/>
      <c r="J38" s="71"/>
    </row>
    <row r="39" spans="1:10">
      <c r="A39" s="73" t="s">
        <v>65</v>
      </c>
      <c r="C39" s="116">
        <f>'Grad Calculator'!B25</f>
        <v>15526.999999999998</v>
      </c>
      <c r="D39" s="116">
        <f>'Grad Calculator'!C25</f>
        <v>16070.444999999996</v>
      </c>
      <c r="E39" s="116">
        <f>'Grad Calculator'!D25</f>
        <v>16632.910574999994</v>
      </c>
      <c r="F39" s="116">
        <f>'Grad Calculator'!E25</f>
        <v>17215.062445124993</v>
      </c>
      <c r="G39" s="116">
        <f>'Grad Calculator'!F25</f>
        <v>17817.589630704366</v>
      </c>
      <c r="H39" s="116">
        <f>'Grad Calculator'!G25</f>
        <v>18441.205267779016</v>
      </c>
      <c r="I39" s="116">
        <f>'Grad Calculator'!H25</f>
        <v>19086.647452151279</v>
      </c>
      <c r="J39" s="71"/>
    </row>
    <row r="40" spans="1:10">
      <c r="A40" s="90"/>
      <c r="B40" s="1"/>
      <c r="C40" s="91"/>
      <c r="D40" s="91"/>
      <c r="E40" s="91"/>
      <c r="F40" s="91"/>
      <c r="G40" s="91"/>
      <c r="H40" s="91"/>
      <c r="I40" s="91"/>
      <c r="J40" s="71"/>
    </row>
    <row r="41" spans="1:10">
      <c r="A41" s="90" t="s">
        <v>23</v>
      </c>
      <c r="B41" s="1"/>
      <c r="C41" s="91">
        <f t="shared" ref="C41:I41" si="7">C37+C39</f>
        <v>56282.630160000001</v>
      </c>
      <c r="D41" s="91">
        <f t="shared" si="7"/>
        <v>58252.522215599995</v>
      </c>
      <c r="E41" s="91">
        <f t="shared" si="7"/>
        <v>60291.360493145985</v>
      </c>
      <c r="F41" s="91">
        <f t="shared" si="7"/>
        <v>62401.558110406098</v>
      </c>
      <c r="G41" s="91">
        <f t="shared" si="7"/>
        <v>64585.612644270303</v>
      </c>
      <c r="H41" s="91">
        <f t="shared" si="7"/>
        <v>66846.10908681975</v>
      </c>
      <c r="I41" s="91">
        <f t="shared" si="7"/>
        <v>69185.722904858441</v>
      </c>
      <c r="J41" s="71"/>
    </row>
    <row r="42" spans="1:10">
      <c r="A42" s="70"/>
      <c r="D42" t="s">
        <v>1</v>
      </c>
      <c r="J42" s="71"/>
    </row>
    <row r="43" spans="1:10">
      <c r="A43" s="3"/>
      <c r="B43" s="75"/>
      <c r="C43" s="75"/>
      <c r="D43" s="75"/>
      <c r="E43" s="75"/>
      <c r="F43" s="75"/>
      <c r="G43" s="75"/>
      <c r="H43" s="75"/>
      <c r="I43" s="75"/>
      <c r="J43" s="76"/>
    </row>
    <row r="47" spans="1:10">
      <c r="A47" s="82"/>
      <c r="C47" s="114"/>
      <c r="E47" s="114"/>
    </row>
    <row r="48" spans="1:10">
      <c r="A48" s="82"/>
      <c r="C48" s="114"/>
      <c r="E48" s="114"/>
    </row>
  </sheetData>
  <sheetProtection selectLockedCells="1"/>
  <mergeCells count="3">
    <mergeCell ref="A19:K19"/>
    <mergeCell ref="D21:E21"/>
    <mergeCell ref="B29:I29"/>
  </mergeCells>
  <dataValidations count="1">
    <dataValidation type="list" allowBlank="1" showInputMessage="1" showErrorMessage="1" sqref="B30" xr:uid="{1739E730-2E81-419D-AED7-5831F0974723}">
      <formula1>"January, February, March, April, May, June, July, August, September, October, November, December"</formula1>
    </dataValidation>
  </dataValidations>
  <pageMargins left="0.7" right="0.7"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204C3-98BA-4BE8-87B1-DBCE393D53A1}">
  <dimension ref="B2:O19"/>
  <sheetViews>
    <sheetView topLeftCell="B1" workbookViewId="0">
      <selection activeCell="B2" sqref="B2:O21"/>
    </sheetView>
  </sheetViews>
  <sheetFormatPr defaultRowHeight="15" customHeight="1"/>
  <cols>
    <col min="2" max="4" width="13.453125" customWidth="1"/>
    <col min="5" max="5" width="16" customWidth="1"/>
    <col min="6" max="6" width="10.453125" customWidth="1"/>
    <col min="7" max="7" width="14.54296875" customWidth="1"/>
    <col min="8" max="8" width="13.36328125" customWidth="1"/>
    <col min="9" max="9" width="16.6328125" customWidth="1"/>
    <col min="10" max="10" width="14.1796875" customWidth="1"/>
    <col min="11" max="11" width="15.7265625" customWidth="1"/>
    <col min="12" max="12" width="16.81640625" customWidth="1"/>
    <col min="13" max="13" width="13.90625" customWidth="1"/>
    <col min="14" max="14" width="10.7265625" customWidth="1"/>
    <col min="15" max="15" width="14.36328125" customWidth="1"/>
  </cols>
  <sheetData>
    <row r="2" spans="2:15" ht="14.5">
      <c r="B2" t="s">
        <v>89</v>
      </c>
      <c r="I2" s="115">
        <v>45108</v>
      </c>
      <c r="J2" s="115">
        <v>45473</v>
      </c>
      <c r="K2">
        <f>(_xlfn.DAYS(J2,I2))+1</f>
        <v>366</v>
      </c>
    </row>
    <row r="3" spans="2:15" ht="47" customHeight="1" thickBot="1">
      <c r="B3" t="s">
        <v>90</v>
      </c>
      <c r="E3" s="111" t="s">
        <v>105</v>
      </c>
      <c r="F3" s="111" t="s">
        <v>110</v>
      </c>
      <c r="G3" s="111" t="s">
        <v>109</v>
      </c>
      <c r="H3" s="111" t="s">
        <v>108</v>
      </c>
      <c r="I3" s="111" t="s">
        <v>111</v>
      </c>
      <c r="J3" t="s">
        <v>106</v>
      </c>
      <c r="K3" t="s">
        <v>107</v>
      </c>
      <c r="L3" t="s">
        <v>91</v>
      </c>
      <c r="M3" s="111" t="s">
        <v>92</v>
      </c>
      <c r="N3" s="111" t="s">
        <v>93</v>
      </c>
      <c r="O3" t="s">
        <v>59</v>
      </c>
    </row>
    <row r="4" spans="2:15" ht="14.5">
      <c r="B4" t="s">
        <v>94</v>
      </c>
      <c r="C4" s="115">
        <v>45108</v>
      </c>
      <c r="D4" s="115">
        <v>45138</v>
      </c>
      <c r="E4">
        <f>(_xlfn.DAYS(D4,C4))+1</f>
        <v>31</v>
      </c>
      <c r="F4">
        <f>E17</f>
        <v>274</v>
      </c>
      <c r="G4">
        <f t="shared" ref="G4:G15" si="0">$E$17-F4</f>
        <v>0</v>
      </c>
      <c r="H4">
        <f>E4+E5+E15</f>
        <v>92</v>
      </c>
      <c r="I4">
        <v>0</v>
      </c>
      <c r="J4" s="113">
        <f>0</f>
        <v>0</v>
      </c>
      <c r="K4" s="113">
        <f>'Grad Calculator'!$C$21</f>
        <v>3.5000000000000003E-2</v>
      </c>
      <c r="L4" s="117">
        <f t="shared" ref="L4:L15" si="1">((F4*J4)+(G4*K4))/$E$17</f>
        <v>0</v>
      </c>
      <c r="M4" s="113">
        <v>0</v>
      </c>
      <c r="N4" s="113">
        <f>'Grad Calculator'!$C$21</f>
        <v>3.5000000000000003E-2</v>
      </c>
      <c r="O4" s="121">
        <f>((H4*M4)+(I4*N4))/$E$18</f>
        <v>0</v>
      </c>
    </row>
    <row r="5" spans="2:15" ht="14.5">
      <c r="B5" t="s">
        <v>95</v>
      </c>
      <c r="C5" s="115">
        <v>45139</v>
      </c>
      <c r="D5" s="115">
        <v>45169</v>
      </c>
      <c r="E5">
        <f t="shared" ref="E5:E15" si="2">(_xlfn.DAYS(D5,C5))+1</f>
        <v>31</v>
      </c>
      <c r="F5">
        <f>$E$17</f>
        <v>274</v>
      </c>
      <c r="G5">
        <f t="shared" si="0"/>
        <v>0</v>
      </c>
      <c r="H5">
        <f>E5+E15</f>
        <v>61</v>
      </c>
      <c r="I5">
        <f>E4</f>
        <v>31</v>
      </c>
      <c r="J5" s="113">
        <f>0</f>
        <v>0</v>
      </c>
      <c r="K5" s="113">
        <f>'Grad Calculator'!$C$21</f>
        <v>3.5000000000000003E-2</v>
      </c>
      <c r="L5" s="118">
        <f t="shared" si="1"/>
        <v>0</v>
      </c>
      <c r="M5" s="113">
        <v>0</v>
      </c>
      <c r="N5" s="113">
        <f>'Grad Calculator'!$C$21</f>
        <v>3.5000000000000003E-2</v>
      </c>
      <c r="O5" s="121">
        <f>((2*M5)+(1*N5))/3</f>
        <v>1.1666666666666667E-2</v>
      </c>
    </row>
    <row r="6" spans="2:15" ht="14.5">
      <c r="B6" t="s">
        <v>96</v>
      </c>
      <c r="C6" s="115">
        <v>45170</v>
      </c>
      <c r="D6" s="115">
        <v>45199</v>
      </c>
      <c r="E6">
        <f t="shared" si="2"/>
        <v>30</v>
      </c>
      <c r="F6">
        <f t="shared" ref="F6" si="3">$E$17</f>
        <v>274</v>
      </c>
      <c r="G6">
        <f t="shared" si="0"/>
        <v>0</v>
      </c>
      <c r="H6">
        <f>$E$15</f>
        <v>30</v>
      </c>
      <c r="I6">
        <f>$E$4+$E$5</f>
        <v>62</v>
      </c>
      <c r="J6" s="113">
        <f>0</f>
        <v>0</v>
      </c>
      <c r="K6" s="113">
        <f>'Grad Calculator'!$C$21</f>
        <v>3.5000000000000003E-2</v>
      </c>
      <c r="L6" s="118">
        <f t="shared" si="1"/>
        <v>0</v>
      </c>
      <c r="M6" s="113">
        <v>0</v>
      </c>
      <c r="N6" s="113">
        <f>'Grad Calculator'!$C$21</f>
        <v>3.5000000000000003E-2</v>
      </c>
      <c r="O6" s="121">
        <f>((1*M6)+(2*N6))/3</f>
        <v>2.3333333333333334E-2</v>
      </c>
    </row>
    <row r="7" spans="2:15" ht="14.5">
      <c r="B7" t="s">
        <v>97</v>
      </c>
      <c r="C7" s="115">
        <v>45200</v>
      </c>
      <c r="D7" s="115">
        <v>45230</v>
      </c>
      <c r="E7">
        <f t="shared" si="2"/>
        <v>31</v>
      </c>
      <c r="F7">
        <f>$E$17-E6</f>
        <v>244</v>
      </c>
      <c r="G7">
        <f t="shared" si="0"/>
        <v>30</v>
      </c>
      <c r="H7">
        <f t="shared" ref="H7:H14" si="4">$E$15</f>
        <v>30</v>
      </c>
      <c r="I7">
        <f t="shared" ref="I7:I15" si="5">$E$4+$E$5</f>
        <v>62</v>
      </c>
      <c r="J7" s="113">
        <f>0</f>
        <v>0</v>
      </c>
      <c r="K7" s="113">
        <f>'Grad Calculator'!$C$21</f>
        <v>3.5000000000000003E-2</v>
      </c>
      <c r="L7" s="119">
        <f>((F7*J7)+(G7*K7))/$E$17</f>
        <v>3.8321167883211679E-3</v>
      </c>
      <c r="M7" s="113">
        <v>0</v>
      </c>
      <c r="N7" s="113">
        <f>'Grad Calculator'!$C$21</f>
        <v>3.5000000000000003E-2</v>
      </c>
      <c r="O7" s="121">
        <f t="shared" ref="O7:O15" si="6">((1*M7)+(2*N7))/3</f>
        <v>2.3333333333333334E-2</v>
      </c>
    </row>
    <row r="8" spans="2:15" ht="14.5">
      <c r="B8" t="s">
        <v>98</v>
      </c>
      <c r="C8" s="115">
        <v>45231</v>
      </c>
      <c r="D8" s="115">
        <v>45260</v>
      </c>
      <c r="E8">
        <f t="shared" si="2"/>
        <v>30</v>
      </c>
      <c r="F8">
        <f>F7-E7</f>
        <v>213</v>
      </c>
      <c r="G8">
        <f t="shared" si="0"/>
        <v>61</v>
      </c>
      <c r="H8">
        <f t="shared" si="4"/>
        <v>30</v>
      </c>
      <c r="I8">
        <f t="shared" si="5"/>
        <v>62</v>
      </c>
      <c r="J8" s="113">
        <f>0</f>
        <v>0</v>
      </c>
      <c r="K8" s="113">
        <f>'Grad Calculator'!$C$21</f>
        <v>3.5000000000000003E-2</v>
      </c>
      <c r="L8" s="119">
        <f t="shared" si="1"/>
        <v>7.7919708029197086E-3</v>
      </c>
      <c r="M8" s="113">
        <v>0</v>
      </c>
      <c r="N8" s="113">
        <f>'Grad Calculator'!$C$21</f>
        <v>3.5000000000000003E-2</v>
      </c>
      <c r="O8" s="121">
        <f t="shared" si="6"/>
        <v>2.3333333333333334E-2</v>
      </c>
    </row>
    <row r="9" spans="2:15" ht="14.5">
      <c r="B9" t="s">
        <v>99</v>
      </c>
      <c r="C9" s="115">
        <v>45261</v>
      </c>
      <c r="D9" s="115">
        <v>45291</v>
      </c>
      <c r="E9">
        <f t="shared" si="2"/>
        <v>31</v>
      </c>
      <c r="F9">
        <f t="shared" ref="F9:F15" si="7">F8-E8</f>
        <v>183</v>
      </c>
      <c r="G9">
        <f t="shared" si="0"/>
        <v>91</v>
      </c>
      <c r="H9">
        <f t="shared" si="4"/>
        <v>30</v>
      </c>
      <c r="I9">
        <f t="shared" si="5"/>
        <v>62</v>
      </c>
      <c r="J9" s="113">
        <f>0</f>
        <v>0</v>
      </c>
      <c r="K9" s="113">
        <f>'Grad Calculator'!$C$21</f>
        <v>3.5000000000000003E-2</v>
      </c>
      <c r="L9" s="119">
        <f t="shared" si="1"/>
        <v>1.1624087591240877E-2</v>
      </c>
      <c r="M9" s="113">
        <v>0</v>
      </c>
      <c r="N9" s="113">
        <f>'Grad Calculator'!$C$21</f>
        <v>3.5000000000000003E-2</v>
      </c>
      <c r="O9" s="121">
        <f t="shared" si="6"/>
        <v>2.3333333333333334E-2</v>
      </c>
    </row>
    <row r="10" spans="2:15" ht="14.5">
      <c r="B10" t="s">
        <v>58</v>
      </c>
      <c r="C10" s="115">
        <v>45292</v>
      </c>
      <c r="D10" s="115">
        <v>45322</v>
      </c>
      <c r="E10">
        <f t="shared" si="2"/>
        <v>31</v>
      </c>
      <c r="F10">
        <f t="shared" si="7"/>
        <v>152</v>
      </c>
      <c r="G10">
        <f t="shared" si="0"/>
        <v>122</v>
      </c>
      <c r="H10">
        <f t="shared" si="4"/>
        <v>30</v>
      </c>
      <c r="I10">
        <f t="shared" si="5"/>
        <v>62</v>
      </c>
      <c r="J10" s="113">
        <f>0</f>
        <v>0</v>
      </c>
      <c r="K10" s="113">
        <f>'Grad Calculator'!$C$21</f>
        <v>3.5000000000000003E-2</v>
      </c>
      <c r="L10" s="119">
        <f t="shared" si="1"/>
        <v>1.5583941605839417E-2</v>
      </c>
      <c r="M10" s="113">
        <v>0</v>
      </c>
      <c r="N10" s="113">
        <f>'Grad Calculator'!$C$21</f>
        <v>3.5000000000000003E-2</v>
      </c>
      <c r="O10" s="121">
        <f t="shared" si="6"/>
        <v>2.3333333333333334E-2</v>
      </c>
    </row>
    <row r="11" spans="2:15" ht="14.5">
      <c r="B11" t="s">
        <v>100</v>
      </c>
      <c r="C11" s="115">
        <v>45323</v>
      </c>
      <c r="D11" s="115">
        <v>45351</v>
      </c>
      <c r="E11">
        <f t="shared" si="2"/>
        <v>29</v>
      </c>
      <c r="F11">
        <f t="shared" si="7"/>
        <v>121</v>
      </c>
      <c r="G11">
        <f t="shared" si="0"/>
        <v>153</v>
      </c>
      <c r="H11">
        <f t="shared" si="4"/>
        <v>30</v>
      </c>
      <c r="I11">
        <f t="shared" si="5"/>
        <v>62</v>
      </c>
      <c r="J11" s="113">
        <f>0</f>
        <v>0</v>
      </c>
      <c r="K11" s="113">
        <f>'Grad Calculator'!$C$21</f>
        <v>3.5000000000000003E-2</v>
      </c>
      <c r="L11" s="119">
        <f t="shared" si="1"/>
        <v>1.9543795620437957E-2</v>
      </c>
      <c r="M11" s="113">
        <v>0</v>
      </c>
      <c r="N11" s="113">
        <f>'Grad Calculator'!$C$21</f>
        <v>3.5000000000000003E-2</v>
      </c>
      <c r="O11" s="121">
        <f t="shared" si="6"/>
        <v>2.3333333333333334E-2</v>
      </c>
    </row>
    <row r="12" spans="2:15" ht="14.5">
      <c r="B12" t="s">
        <v>101</v>
      </c>
      <c r="C12" s="115">
        <v>45352</v>
      </c>
      <c r="D12" s="115">
        <v>45382</v>
      </c>
      <c r="E12">
        <f t="shared" si="2"/>
        <v>31</v>
      </c>
      <c r="F12">
        <f t="shared" si="7"/>
        <v>92</v>
      </c>
      <c r="G12">
        <f t="shared" si="0"/>
        <v>182</v>
      </c>
      <c r="H12">
        <f t="shared" si="4"/>
        <v>30</v>
      </c>
      <c r="I12">
        <f t="shared" si="5"/>
        <v>62</v>
      </c>
      <c r="J12" s="113">
        <f>0</f>
        <v>0</v>
      </c>
      <c r="K12" s="113">
        <f>'Grad Calculator'!$C$21</f>
        <v>3.5000000000000003E-2</v>
      </c>
      <c r="L12" s="119">
        <f t="shared" si="1"/>
        <v>2.3248175182481755E-2</v>
      </c>
      <c r="M12" s="113">
        <v>0</v>
      </c>
      <c r="N12" s="113">
        <f>'Grad Calculator'!$C$21</f>
        <v>3.5000000000000003E-2</v>
      </c>
      <c r="O12" s="121">
        <f t="shared" si="6"/>
        <v>2.3333333333333334E-2</v>
      </c>
    </row>
    <row r="13" spans="2:15" ht="14.5">
      <c r="B13" t="s">
        <v>102</v>
      </c>
      <c r="C13" s="115">
        <v>45383</v>
      </c>
      <c r="D13" s="115">
        <v>45412</v>
      </c>
      <c r="E13">
        <f t="shared" si="2"/>
        <v>30</v>
      </c>
      <c r="F13">
        <f t="shared" si="7"/>
        <v>61</v>
      </c>
      <c r="G13">
        <f t="shared" si="0"/>
        <v>213</v>
      </c>
      <c r="H13">
        <f t="shared" si="4"/>
        <v>30</v>
      </c>
      <c r="I13">
        <f t="shared" si="5"/>
        <v>62</v>
      </c>
      <c r="J13" s="113">
        <f>0</f>
        <v>0</v>
      </c>
      <c r="K13" s="113">
        <f>'Grad Calculator'!$C$21</f>
        <v>3.5000000000000003E-2</v>
      </c>
      <c r="L13" s="119">
        <f t="shared" si="1"/>
        <v>2.7208029197080295E-2</v>
      </c>
      <c r="M13" s="113">
        <v>0</v>
      </c>
      <c r="N13" s="113">
        <f>'Grad Calculator'!$C$21</f>
        <v>3.5000000000000003E-2</v>
      </c>
      <c r="O13" s="121">
        <f t="shared" si="6"/>
        <v>2.3333333333333334E-2</v>
      </c>
    </row>
    <row r="14" spans="2:15" ht="14.5">
      <c r="B14" t="s">
        <v>103</v>
      </c>
      <c r="C14" s="115">
        <v>45413</v>
      </c>
      <c r="D14" s="115">
        <v>45443</v>
      </c>
      <c r="E14">
        <f t="shared" si="2"/>
        <v>31</v>
      </c>
      <c r="F14">
        <f t="shared" si="7"/>
        <v>31</v>
      </c>
      <c r="G14">
        <f t="shared" si="0"/>
        <v>243</v>
      </c>
      <c r="H14">
        <f t="shared" si="4"/>
        <v>30</v>
      </c>
      <c r="I14">
        <f t="shared" si="5"/>
        <v>62</v>
      </c>
      <c r="J14" s="113">
        <f>0</f>
        <v>0</v>
      </c>
      <c r="K14" s="113">
        <f>'Grad Calculator'!$C$21</f>
        <v>3.5000000000000003E-2</v>
      </c>
      <c r="L14" s="119">
        <f t="shared" si="1"/>
        <v>3.1040145985401463E-2</v>
      </c>
      <c r="M14" s="113">
        <v>0</v>
      </c>
      <c r="N14" s="113">
        <f>'Grad Calculator'!$C$21</f>
        <v>3.5000000000000003E-2</v>
      </c>
      <c r="O14" s="121">
        <f t="shared" si="6"/>
        <v>2.3333333333333334E-2</v>
      </c>
    </row>
    <row r="15" spans="2:15" thickBot="1">
      <c r="B15" t="s">
        <v>104</v>
      </c>
      <c r="C15" s="115">
        <v>45444</v>
      </c>
      <c r="D15" s="115">
        <v>45473</v>
      </c>
      <c r="E15" s="75">
        <f t="shared" si="2"/>
        <v>30</v>
      </c>
      <c r="F15">
        <f t="shared" si="7"/>
        <v>0</v>
      </c>
      <c r="G15">
        <f t="shared" si="0"/>
        <v>274</v>
      </c>
      <c r="H15">
        <f>E15</f>
        <v>30</v>
      </c>
      <c r="I15">
        <f t="shared" si="5"/>
        <v>62</v>
      </c>
      <c r="J15" s="113">
        <f>0</f>
        <v>0</v>
      </c>
      <c r="K15" s="113">
        <f>'Grad Calculator'!$C$21</f>
        <v>3.5000000000000003E-2</v>
      </c>
      <c r="L15" s="120">
        <f t="shared" si="1"/>
        <v>3.5000000000000003E-2</v>
      </c>
      <c r="M15" s="113">
        <v>0</v>
      </c>
      <c r="N15" s="113">
        <f>'Grad Calculator'!$C$21</f>
        <v>3.5000000000000003E-2</v>
      </c>
      <c r="O15" s="121">
        <f t="shared" si="6"/>
        <v>2.3333333333333334E-2</v>
      </c>
    </row>
    <row r="16" spans="2:15" ht="15" customHeight="1">
      <c r="E16">
        <f>SUM(E4:E15)</f>
        <v>366</v>
      </c>
    </row>
    <row r="17" spans="2:9" ht="15" customHeight="1">
      <c r="B17" t="s">
        <v>112</v>
      </c>
      <c r="E17">
        <f>E16-E4-E5-E15</f>
        <v>274</v>
      </c>
    </row>
    <row r="18" spans="2:9" ht="15" customHeight="1">
      <c r="B18" t="s">
        <v>113</v>
      </c>
      <c r="E18">
        <f>E4+E5+E15</f>
        <v>92</v>
      </c>
    </row>
    <row r="19" spans="2:9" ht="15" customHeight="1">
      <c r="I19" s="121"/>
    </row>
  </sheetData>
  <sheetProtection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3"/>
  <sheetViews>
    <sheetView topLeftCell="A39" zoomScale="160" zoomScaleNormal="160" workbookViewId="0">
      <selection activeCell="E3" sqref="E3"/>
    </sheetView>
  </sheetViews>
  <sheetFormatPr defaultColWidth="10.81640625" defaultRowHeight="12"/>
  <cols>
    <col min="1" max="7" width="12.7265625" style="17" customWidth="1"/>
    <col min="8" max="8" width="19.54296875" style="17" customWidth="1"/>
    <col min="9" max="9" width="12.7265625" style="17" customWidth="1"/>
    <col min="10" max="10" width="10.26953125" style="17" customWidth="1"/>
    <col min="11" max="11" width="13.26953125" style="17" customWidth="1"/>
    <col min="12" max="12" width="9.453125" style="17" customWidth="1"/>
    <col min="13" max="13" width="12" style="17" customWidth="1"/>
    <col min="14" max="16384" width="10.81640625" style="17"/>
  </cols>
  <sheetData>
    <row r="1" spans="1:13" ht="21">
      <c r="A1" s="16" t="s">
        <v>66</v>
      </c>
      <c r="D1" s="1" t="s">
        <v>123</v>
      </c>
      <c r="E1" t="s">
        <v>138</v>
      </c>
    </row>
    <row r="2" spans="1:13" ht="21">
      <c r="A2" s="16"/>
    </row>
    <row r="3" spans="1:13" ht="14.5">
      <c r="D3" s="72" t="s">
        <v>57</v>
      </c>
      <c r="E3" s="32" t="s">
        <v>58</v>
      </c>
      <c r="F3" s="133">
        <f>VLOOKUP(E3,'COLA Array NIH'!B4:O15,11,FALSE)</f>
        <v>8.9051094890510944E-3</v>
      </c>
      <c r="G3" s="133">
        <f>VLOOKUP(E3,'COLA Array NIH'!B4:O15,14,FALSE)</f>
        <v>1.3333333333333334E-2</v>
      </c>
      <c r="H3" s="133">
        <f>VLOOKUP(E3,'COLA Array NIH'!B15:J33,9,FALSE)</f>
        <v>1.0054644808743169E-2</v>
      </c>
    </row>
    <row r="5" spans="1:13" ht="36">
      <c r="A5" s="18" t="s">
        <v>67</v>
      </c>
      <c r="B5" s="18" t="s">
        <v>68</v>
      </c>
      <c r="C5" s="19" t="s">
        <v>69</v>
      </c>
      <c r="D5" s="19" t="s">
        <v>70</v>
      </c>
      <c r="E5" s="19" t="s">
        <v>71</v>
      </c>
      <c r="F5" s="36" t="s">
        <v>43</v>
      </c>
      <c r="G5" s="36"/>
      <c r="H5" s="46" t="s">
        <v>19</v>
      </c>
    </row>
    <row r="6" spans="1:13" ht="14.5">
      <c r="A6" s="35">
        <v>221900</v>
      </c>
      <c r="B6" s="35">
        <f>($A$6/12)*9</f>
        <v>166425</v>
      </c>
      <c r="C6" s="50">
        <v>155000</v>
      </c>
      <c r="D6" s="50">
        <v>213000</v>
      </c>
      <c r="E6" s="20">
        <f>B6/9</f>
        <v>18491.666666666668</v>
      </c>
      <c r="F6" s="51">
        <v>0.02</v>
      </c>
      <c r="G6" s="51"/>
      <c r="H6" s="47" t="s">
        <v>21</v>
      </c>
      <c r="I6" s="21"/>
    </row>
    <row r="7" spans="1:13" ht="14.5">
      <c r="A7" s="22"/>
      <c r="B7" s="22"/>
      <c r="C7" s="23"/>
      <c r="D7" s="23"/>
      <c r="E7" s="24"/>
      <c r="F7" s="25"/>
      <c r="G7" s="25"/>
      <c r="H7" s="25"/>
      <c r="I7" s="21"/>
    </row>
    <row r="8" spans="1:13" ht="14.5">
      <c r="A8" s="140" t="s">
        <v>72</v>
      </c>
      <c r="B8" s="141"/>
      <c r="C8" s="141"/>
      <c r="D8" s="141"/>
      <c r="E8" s="141"/>
      <c r="F8" s="141"/>
      <c r="G8" s="141"/>
      <c r="H8" s="142"/>
      <c r="I8" s="21"/>
    </row>
    <row r="9" spans="1:13" ht="12.75" customHeight="1">
      <c r="A9" s="143" t="s">
        <v>73</v>
      </c>
      <c r="B9" s="143" t="s">
        <v>74</v>
      </c>
      <c r="C9" s="146" t="s">
        <v>75</v>
      </c>
      <c r="D9" s="143" t="s">
        <v>76</v>
      </c>
      <c r="E9" s="144" t="s">
        <v>77</v>
      </c>
      <c r="F9" s="144" t="s">
        <v>78</v>
      </c>
      <c r="G9" s="108"/>
      <c r="H9" s="144"/>
      <c r="I9" s="54"/>
    </row>
    <row r="10" spans="1:13" ht="15" customHeight="1">
      <c r="A10" s="144"/>
      <c r="B10" s="144"/>
      <c r="C10" s="147"/>
      <c r="D10" s="144"/>
      <c r="E10" s="145"/>
      <c r="F10" s="145"/>
      <c r="G10" s="109" t="s">
        <v>79</v>
      </c>
      <c r="H10" s="145"/>
      <c r="I10" s="21"/>
      <c r="M10" s="26"/>
    </row>
    <row r="11" spans="1:13" ht="14.5">
      <c r="A11" s="79">
        <v>24</v>
      </c>
      <c r="B11" s="29">
        <f>C6*(1+F3)</f>
        <v>156380.29197080291</v>
      </c>
      <c r="C11" s="52">
        <v>0.1111</v>
      </c>
      <c r="D11" s="34">
        <f>(F11/E11)*C11</f>
        <v>0.11823623851176948</v>
      </c>
      <c r="E11" s="29">
        <f>B11*C11</f>
        <v>17373.850437956204</v>
      </c>
      <c r="F11" s="29">
        <f>$B$6*C11</f>
        <v>18489.817500000001</v>
      </c>
      <c r="G11" s="29">
        <f>E11-F11</f>
        <v>-1115.9670620437973</v>
      </c>
      <c r="H11" s="28" t="s">
        <v>80</v>
      </c>
      <c r="I11" s="54"/>
    </row>
    <row r="12" spans="1:13" ht="14.5">
      <c r="A12" s="27">
        <f>A11+1</f>
        <v>25</v>
      </c>
      <c r="B12" s="29">
        <f>B11*(1+$F$6)</f>
        <v>159507.89781021897</v>
      </c>
      <c r="C12" s="52">
        <v>0.1111</v>
      </c>
      <c r="D12" s="34">
        <f t="shared" ref="D12:D20" si="0">(F12/E12)*C12</f>
        <v>0.11591788089389164</v>
      </c>
      <c r="E12" s="29">
        <f>B12*C12</f>
        <v>17721.327446715328</v>
      </c>
      <c r="F12" s="29">
        <f>$B$6*C12</f>
        <v>18489.817500000001</v>
      </c>
      <c r="G12" s="29">
        <f t="shared" ref="G12:G20" si="1">E12-F12</f>
        <v>-768.49005328467319</v>
      </c>
      <c r="H12" s="28" t="s">
        <v>1</v>
      </c>
      <c r="I12" s="54"/>
    </row>
    <row r="13" spans="1:13" ht="14.5">
      <c r="A13" s="27">
        <f t="shared" ref="A13:A20" si="2">A12+1</f>
        <v>26</v>
      </c>
      <c r="B13" s="29">
        <f t="shared" ref="B13:B20" si="3">B12*(1+$F$6)</f>
        <v>162698.05576642335</v>
      </c>
      <c r="C13" s="52">
        <v>0.1111</v>
      </c>
      <c r="D13" s="34">
        <f t="shared" si="0"/>
        <v>0.11364498126852123</v>
      </c>
      <c r="E13" s="29">
        <f>B13*C13</f>
        <v>18075.753995649633</v>
      </c>
      <c r="F13" s="29">
        <f t="shared" ref="F13:F20" si="4">$B$6*C13</f>
        <v>18489.817500000001</v>
      </c>
      <c r="G13" s="29">
        <f t="shared" si="1"/>
        <v>-414.06350435036802</v>
      </c>
      <c r="H13" s="28" t="s">
        <v>1</v>
      </c>
      <c r="I13" s="21"/>
      <c r="J13" s="45"/>
    </row>
    <row r="14" spans="1:13" ht="14.5">
      <c r="A14" s="27">
        <f t="shared" si="2"/>
        <v>27</v>
      </c>
      <c r="B14" s="29">
        <f t="shared" si="3"/>
        <v>165952.01688175183</v>
      </c>
      <c r="C14" s="52">
        <v>0.1111</v>
      </c>
      <c r="D14" s="34">
        <f t="shared" si="0"/>
        <v>0.11141664830247176</v>
      </c>
      <c r="E14" s="29">
        <f>B14*C14</f>
        <v>18437.269075562628</v>
      </c>
      <c r="F14" s="29">
        <f>$B$6*C14</f>
        <v>18489.817500000001</v>
      </c>
      <c r="G14" s="29">
        <f t="shared" si="1"/>
        <v>-52.548424437372887</v>
      </c>
      <c r="H14" s="28"/>
      <c r="I14" s="21"/>
    </row>
    <row r="15" spans="1:13" ht="14.5">
      <c r="A15" s="27">
        <f t="shared" si="2"/>
        <v>28</v>
      </c>
      <c r="B15" s="29">
        <f t="shared" si="3"/>
        <v>169271.05721938686</v>
      </c>
      <c r="C15" s="52">
        <v>0.1111</v>
      </c>
      <c r="D15" s="34">
        <f t="shared" si="0"/>
        <v>0.1092320081396782</v>
      </c>
      <c r="E15" s="29">
        <f t="shared" ref="E15:E20" si="5">B15*C15</f>
        <v>18806.014457073881</v>
      </c>
      <c r="F15" s="29">
        <f t="shared" si="4"/>
        <v>18489.817500000001</v>
      </c>
      <c r="G15" s="29">
        <f t="shared" si="1"/>
        <v>316.19695707388018</v>
      </c>
      <c r="H15" s="28"/>
      <c r="I15" s="21"/>
      <c r="J15" s="21"/>
    </row>
    <row r="16" spans="1:13" ht="14.5">
      <c r="A16" s="27">
        <f t="shared" si="2"/>
        <v>29</v>
      </c>
      <c r="B16" s="29">
        <f t="shared" si="3"/>
        <v>172656.4783637746</v>
      </c>
      <c r="C16" s="52">
        <v>0.1111</v>
      </c>
      <c r="D16" s="34">
        <f t="shared" si="0"/>
        <v>0.10709020405850805</v>
      </c>
      <c r="E16" s="29">
        <f t="shared" si="5"/>
        <v>19182.134746215357</v>
      </c>
      <c r="F16" s="29">
        <f t="shared" si="4"/>
        <v>18489.817500000001</v>
      </c>
      <c r="G16" s="29">
        <f t="shared" si="1"/>
        <v>692.31724621535614</v>
      </c>
      <c r="H16" s="28"/>
      <c r="I16" s="21"/>
      <c r="J16" s="21"/>
    </row>
    <row r="17" spans="1:11" ht="14.5">
      <c r="A17" s="27">
        <f t="shared" si="2"/>
        <v>30</v>
      </c>
      <c r="B17" s="29">
        <f t="shared" si="3"/>
        <v>176109.60793105009</v>
      </c>
      <c r="C17" s="52">
        <v>0.1111</v>
      </c>
      <c r="D17" s="34">
        <f t="shared" si="0"/>
        <v>0.1049903961357922</v>
      </c>
      <c r="E17" s="29">
        <f t="shared" si="5"/>
        <v>19565.777441139668</v>
      </c>
      <c r="F17" s="29">
        <f t="shared" si="4"/>
        <v>18489.817500000001</v>
      </c>
      <c r="G17" s="29">
        <f t="shared" si="1"/>
        <v>1075.9599411396666</v>
      </c>
      <c r="H17" s="28"/>
      <c r="I17" s="21"/>
      <c r="J17" s="21"/>
    </row>
    <row r="18" spans="1:11" ht="14.5">
      <c r="A18" s="27">
        <f t="shared" si="2"/>
        <v>31</v>
      </c>
      <c r="B18" s="29">
        <f t="shared" si="3"/>
        <v>179631.8000896711</v>
      </c>
      <c r="C18" s="52">
        <v>0.1111</v>
      </c>
      <c r="D18" s="34">
        <f t="shared" si="0"/>
        <v>0.10293176091744333</v>
      </c>
      <c r="E18" s="29">
        <f t="shared" si="5"/>
        <v>19957.092989962461</v>
      </c>
      <c r="F18" s="29">
        <f t="shared" si="4"/>
        <v>18489.817500000001</v>
      </c>
      <c r="G18" s="29">
        <f t="shared" si="1"/>
        <v>1467.2754899624597</v>
      </c>
      <c r="H18" s="28"/>
      <c r="I18" s="21"/>
      <c r="J18" s="21"/>
    </row>
    <row r="19" spans="1:11" ht="14.5">
      <c r="A19" s="27">
        <f t="shared" si="2"/>
        <v>32</v>
      </c>
      <c r="B19" s="29">
        <f t="shared" si="3"/>
        <v>183224.43609146454</v>
      </c>
      <c r="C19" s="52">
        <v>0.1111</v>
      </c>
      <c r="D19" s="34">
        <f t="shared" si="0"/>
        <v>0.10091349109553267</v>
      </c>
      <c r="E19" s="29">
        <f>B19*C19</f>
        <v>20356.234849761709</v>
      </c>
      <c r="F19" s="29">
        <f>$B$6*C19</f>
        <v>18489.817500000001</v>
      </c>
      <c r="G19" s="29">
        <f t="shared" si="1"/>
        <v>1866.4173497617085</v>
      </c>
      <c r="H19" s="28"/>
      <c r="I19" s="21"/>
      <c r="J19" s="21"/>
    </row>
    <row r="20" spans="1:11" ht="14.5">
      <c r="A20" s="27">
        <f t="shared" si="2"/>
        <v>33</v>
      </c>
      <c r="B20" s="29">
        <f t="shared" si="3"/>
        <v>186888.92481329382</v>
      </c>
      <c r="C20" s="52">
        <v>0.1111</v>
      </c>
      <c r="D20" s="34">
        <f t="shared" si="0"/>
        <v>9.8934795191698705E-2</v>
      </c>
      <c r="E20" s="29">
        <f t="shared" si="5"/>
        <v>20763.359546756943</v>
      </c>
      <c r="F20" s="29">
        <f t="shared" si="4"/>
        <v>18489.817500000001</v>
      </c>
      <c r="G20" s="29">
        <f t="shared" si="1"/>
        <v>2273.542046756942</v>
      </c>
      <c r="H20" s="28"/>
      <c r="I20" s="21"/>
      <c r="J20" s="21"/>
    </row>
    <row r="21" spans="1:11">
      <c r="A21" s="80" t="s">
        <v>81</v>
      </c>
      <c r="B21" s="80"/>
      <c r="C21" s="80"/>
      <c r="D21" s="80"/>
    </row>
    <row r="22" spans="1:11" ht="13">
      <c r="A22" s="140" t="s">
        <v>82</v>
      </c>
      <c r="B22" s="141"/>
      <c r="C22" s="141"/>
      <c r="D22" s="141"/>
      <c r="E22" s="141"/>
      <c r="F22" s="141"/>
      <c r="G22" s="141"/>
      <c r="H22" s="142"/>
      <c r="K22" s="26"/>
    </row>
    <row r="23" spans="1:11" ht="12" customHeight="1">
      <c r="A23" s="143" t="s">
        <v>73</v>
      </c>
      <c r="B23" s="143" t="s">
        <v>83</v>
      </c>
      <c r="C23" s="143" t="s">
        <v>84</v>
      </c>
      <c r="D23" s="143" t="s">
        <v>76</v>
      </c>
      <c r="E23" s="143" t="s">
        <v>77</v>
      </c>
      <c r="F23" s="143" t="s">
        <v>78</v>
      </c>
      <c r="G23" s="108"/>
      <c r="H23" s="144"/>
    </row>
    <row r="24" spans="1:11">
      <c r="A24" s="144"/>
      <c r="B24" s="144"/>
      <c r="C24" s="144"/>
      <c r="D24" s="144"/>
      <c r="E24" s="144"/>
      <c r="F24" s="144"/>
      <c r="G24" s="110"/>
      <c r="H24" s="145"/>
    </row>
    <row r="25" spans="1:11">
      <c r="A25" s="79">
        <v>24</v>
      </c>
      <c r="B25" s="29">
        <f>((C6/9)*3)*(1+G3)</f>
        <v>52355.555555555562</v>
      </c>
      <c r="C25" s="52">
        <v>0.33329999999999999</v>
      </c>
      <c r="D25" s="34">
        <f>(F25/E25)*C25</f>
        <v>0.35315865343803049</v>
      </c>
      <c r="E25" s="29">
        <f>B25*C25</f>
        <v>17450.106666666667</v>
      </c>
      <c r="F25" s="29">
        <f>($E$6*3)*C25</f>
        <v>18489.817499999997</v>
      </c>
      <c r="G25" s="29">
        <f t="shared" ref="G25:G34" si="6">E25-F25</f>
        <v>-1039.7108333333308</v>
      </c>
      <c r="H25" s="28" t="s">
        <v>80</v>
      </c>
    </row>
    <row r="26" spans="1:11">
      <c r="A26" s="27">
        <f>A25+1</f>
        <v>25</v>
      </c>
      <c r="B26" s="29">
        <f>B25*(1+$F$6)</f>
        <v>53402.666666666672</v>
      </c>
      <c r="C26" s="52">
        <v>0.33329999999999999</v>
      </c>
      <c r="D26" s="34">
        <f>(F26/E26)*C26</f>
        <v>0.34623397395885336</v>
      </c>
      <c r="E26" s="29">
        <f>B26*C26</f>
        <v>17799.108800000002</v>
      </c>
      <c r="F26" s="29">
        <f>($E$6*3)*C26</f>
        <v>18489.817499999997</v>
      </c>
      <c r="G26" s="29">
        <f t="shared" si="6"/>
        <v>-690.70869999999559</v>
      </c>
      <c r="H26" s="28"/>
      <c r="I26" s="45"/>
      <c r="J26" s="45"/>
    </row>
    <row r="27" spans="1:11">
      <c r="A27" s="27">
        <f t="shared" ref="A27:A34" si="7">A26+1</f>
        <v>26</v>
      </c>
      <c r="B27" s="29">
        <f t="shared" ref="B27:B34" si="8">B26*(1+$F$6)</f>
        <v>54470.720000000008</v>
      </c>
      <c r="C27" s="52">
        <v>0.33329999999999999</v>
      </c>
      <c r="D27" s="34">
        <f>(F27/E27)*C27</f>
        <v>0.33944507250867972</v>
      </c>
      <c r="E27" s="29">
        <f>B27*C27</f>
        <v>18155.090976000003</v>
      </c>
      <c r="F27" s="29">
        <f>($E$6*3)*C27</f>
        <v>18489.817499999997</v>
      </c>
      <c r="G27" s="29">
        <f t="shared" si="6"/>
        <v>-334.72652399999424</v>
      </c>
      <c r="H27" s="28"/>
    </row>
    <row r="28" spans="1:11">
      <c r="A28" s="27">
        <f t="shared" si="7"/>
        <v>27</v>
      </c>
      <c r="B28" s="29">
        <f>B27*(1+$F$6)</f>
        <v>55560.13440000001</v>
      </c>
      <c r="C28" s="52">
        <v>0.33329999999999999</v>
      </c>
      <c r="D28" s="34">
        <f t="shared" ref="D28:D34" si="9">(F28/E28)*C28</f>
        <v>0.33278928677321551</v>
      </c>
      <c r="E28" s="29">
        <f>B28*C28</f>
        <v>18518.192795520001</v>
      </c>
      <c r="F28" s="29">
        <f t="shared" ref="F28:F34" si="10">($E$6*3)*C28</f>
        <v>18489.817499999997</v>
      </c>
      <c r="G28" s="29">
        <f t="shared" si="6"/>
        <v>28.375295520003419</v>
      </c>
      <c r="H28" s="28"/>
    </row>
    <row r="29" spans="1:11">
      <c r="A29" s="27">
        <f t="shared" si="7"/>
        <v>28</v>
      </c>
      <c r="B29" s="29">
        <f t="shared" si="8"/>
        <v>56671.337088000007</v>
      </c>
      <c r="C29" s="52">
        <v>0.33329999999999999</v>
      </c>
      <c r="D29" s="34">
        <f t="shared" si="9"/>
        <v>0.32626400664040739</v>
      </c>
      <c r="E29" s="29">
        <f t="shared" ref="E29:E34" si="11">B29*C29</f>
        <v>18888.556651430401</v>
      </c>
      <c r="F29" s="29">
        <f t="shared" si="10"/>
        <v>18489.817499999997</v>
      </c>
      <c r="G29" s="29">
        <f t="shared" si="6"/>
        <v>398.73915143040358</v>
      </c>
      <c r="H29" s="28"/>
    </row>
    <row r="30" spans="1:11">
      <c r="A30" s="27">
        <f t="shared" si="7"/>
        <v>29</v>
      </c>
      <c r="B30" s="29">
        <f t="shared" si="8"/>
        <v>57804.763829760006</v>
      </c>
      <c r="C30" s="52">
        <v>0.33329999999999999</v>
      </c>
      <c r="D30" s="34">
        <f t="shared" si="9"/>
        <v>0.31986667317686995</v>
      </c>
      <c r="E30" s="29">
        <f t="shared" si="11"/>
        <v>19266.327784459008</v>
      </c>
      <c r="F30" s="29">
        <f t="shared" si="10"/>
        <v>18489.817499999997</v>
      </c>
      <c r="G30" s="29">
        <f t="shared" si="6"/>
        <v>776.51028445901102</v>
      </c>
      <c r="H30" s="28"/>
    </row>
    <row r="31" spans="1:11">
      <c r="A31" s="27">
        <f t="shared" si="7"/>
        <v>30</v>
      </c>
      <c r="B31" s="29">
        <f t="shared" si="8"/>
        <v>58960.859106355208</v>
      </c>
      <c r="C31" s="52">
        <v>0.33329999999999999</v>
      </c>
      <c r="D31" s="34">
        <f t="shared" si="9"/>
        <v>0.31359477762438231</v>
      </c>
      <c r="E31" s="29">
        <f t="shared" si="11"/>
        <v>19651.65434014819</v>
      </c>
      <c r="F31" s="29">
        <f t="shared" si="10"/>
        <v>18489.817499999997</v>
      </c>
      <c r="G31" s="29">
        <f t="shared" si="6"/>
        <v>1161.836840148193</v>
      </c>
      <c r="H31" s="28"/>
      <c r="I31" s="45"/>
      <c r="J31" s="45"/>
    </row>
    <row r="32" spans="1:11">
      <c r="A32" s="27">
        <f t="shared" si="7"/>
        <v>31</v>
      </c>
      <c r="B32" s="29">
        <f t="shared" si="8"/>
        <v>60140.076288482313</v>
      </c>
      <c r="C32" s="52">
        <v>0.33329999999999999</v>
      </c>
      <c r="D32" s="34">
        <f t="shared" si="9"/>
        <v>0.30744586041606109</v>
      </c>
      <c r="E32" s="29">
        <f t="shared" si="11"/>
        <v>20044.687426951154</v>
      </c>
      <c r="F32" s="29">
        <f t="shared" si="10"/>
        <v>18489.817499999997</v>
      </c>
      <c r="G32" s="29">
        <f t="shared" si="6"/>
        <v>1554.8699269511562</v>
      </c>
      <c r="H32" s="28"/>
    </row>
    <row r="33" spans="1:10">
      <c r="A33" s="27">
        <f t="shared" si="7"/>
        <v>32</v>
      </c>
      <c r="B33" s="29">
        <f t="shared" si="8"/>
        <v>61342.877814251959</v>
      </c>
      <c r="C33" s="52">
        <v>0.33329999999999999</v>
      </c>
      <c r="D33" s="34">
        <f t="shared" si="9"/>
        <v>0.30141751021182456</v>
      </c>
      <c r="E33" s="29">
        <f t="shared" si="11"/>
        <v>20445.581175490177</v>
      </c>
      <c r="F33" s="29">
        <f t="shared" si="10"/>
        <v>18489.817499999997</v>
      </c>
      <c r="G33" s="29">
        <f t="shared" si="6"/>
        <v>1955.7636754901796</v>
      </c>
      <c r="H33" s="28"/>
    </row>
    <row r="34" spans="1:10">
      <c r="A34" s="27">
        <f t="shared" si="7"/>
        <v>33</v>
      </c>
      <c r="B34" s="29">
        <f t="shared" si="8"/>
        <v>62569.735370536997</v>
      </c>
      <c r="C34" s="52">
        <v>0.33329999999999999</v>
      </c>
      <c r="D34" s="34">
        <f t="shared" si="9"/>
        <v>0.29550736295276919</v>
      </c>
      <c r="E34" s="29">
        <f t="shared" si="11"/>
        <v>20854.492798999981</v>
      </c>
      <c r="F34" s="29">
        <f t="shared" si="10"/>
        <v>18489.817499999997</v>
      </c>
      <c r="G34" s="29">
        <f t="shared" si="6"/>
        <v>2364.6752989999841</v>
      </c>
      <c r="H34" s="28"/>
      <c r="J34" s="45"/>
    </row>
    <row r="35" spans="1:10">
      <c r="A35" s="80" t="s">
        <v>81</v>
      </c>
      <c r="B35" s="80"/>
      <c r="C35" s="80"/>
      <c r="D35" s="80"/>
      <c r="J35" s="45"/>
    </row>
    <row r="36" spans="1:10" ht="13">
      <c r="A36" s="140" t="s">
        <v>85</v>
      </c>
      <c r="B36" s="141"/>
      <c r="C36" s="141"/>
      <c r="D36" s="141"/>
      <c r="E36" s="141"/>
      <c r="F36" s="141"/>
      <c r="G36" s="141"/>
      <c r="H36" s="142"/>
    </row>
    <row r="37" spans="1:10">
      <c r="A37" s="143" t="s">
        <v>73</v>
      </c>
      <c r="B37" s="143" t="s">
        <v>86</v>
      </c>
      <c r="C37" s="143" t="s">
        <v>87</v>
      </c>
      <c r="D37" s="143" t="s">
        <v>76</v>
      </c>
      <c r="E37" s="143" t="s">
        <v>77</v>
      </c>
      <c r="F37" s="143" t="s">
        <v>78</v>
      </c>
      <c r="G37" s="107"/>
      <c r="H37" s="143"/>
    </row>
    <row r="38" spans="1:10">
      <c r="A38" s="144"/>
      <c r="B38" s="144"/>
      <c r="C38" s="144"/>
      <c r="D38" s="144"/>
      <c r="E38" s="144"/>
      <c r="F38" s="144"/>
      <c r="G38" s="108"/>
      <c r="H38" s="144"/>
    </row>
    <row r="39" spans="1:10">
      <c r="A39" s="79">
        <v>24</v>
      </c>
      <c r="B39" s="29">
        <f>D6*(1+H3)</f>
        <v>215141.63934426228</v>
      </c>
      <c r="C39" s="52">
        <v>0.1111</v>
      </c>
      <c r="D39" s="34">
        <f t="shared" ref="D39:D48" si="12">(F39/E39)*C39</f>
        <v>0.11459004437793174</v>
      </c>
      <c r="E39" s="29">
        <f>B39*C39</f>
        <v>23902.23613114754</v>
      </c>
      <c r="F39" s="29">
        <f>$A$6*C39</f>
        <v>24653.09</v>
      </c>
      <c r="G39" s="29">
        <f t="shared" ref="G39:G48" si="13">E39-F39</f>
        <v>-750.85386885246044</v>
      </c>
      <c r="H39" s="28" t="s">
        <v>80</v>
      </c>
    </row>
    <row r="40" spans="1:10">
      <c r="A40" s="27">
        <f>A39+1</f>
        <v>25</v>
      </c>
      <c r="B40" s="29">
        <f t="shared" ref="B40:B48" si="14">B39*(1+$F$6)</f>
        <v>219444.47213114752</v>
      </c>
      <c r="C40" s="52">
        <v>0.1111</v>
      </c>
      <c r="D40" s="34">
        <f t="shared" si="12"/>
        <v>0.11234318076267817</v>
      </c>
      <c r="E40" s="29">
        <f t="shared" ref="E40:E41" si="15">B40*C40</f>
        <v>24380.280853770491</v>
      </c>
      <c r="F40" s="29">
        <f t="shared" ref="F40:F48" si="16">$A$6*C40</f>
        <v>24653.09</v>
      </c>
      <c r="G40" s="29">
        <f t="shared" si="13"/>
        <v>-272.80914622950877</v>
      </c>
      <c r="H40" s="28"/>
    </row>
    <row r="41" spans="1:10">
      <c r="A41" s="27">
        <f t="shared" ref="A41:A48" si="17">A40+1</f>
        <v>26</v>
      </c>
      <c r="B41" s="29">
        <f t="shared" si="14"/>
        <v>223833.36157377047</v>
      </c>
      <c r="C41" s="52">
        <v>0.1111</v>
      </c>
      <c r="D41" s="34">
        <f t="shared" si="12"/>
        <v>0.11014037329674331</v>
      </c>
      <c r="E41" s="29">
        <f t="shared" si="15"/>
        <v>24867.8864708459</v>
      </c>
      <c r="F41" s="29">
        <f t="shared" si="16"/>
        <v>24653.09</v>
      </c>
      <c r="G41" s="29">
        <f t="shared" si="13"/>
        <v>214.79647084590033</v>
      </c>
      <c r="H41" s="28"/>
    </row>
    <row r="42" spans="1:10">
      <c r="A42" s="27">
        <f t="shared" si="17"/>
        <v>27</v>
      </c>
      <c r="B42" s="29">
        <f t="shared" si="14"/>
        <v>228310.02880524588</v>
      </c>
      <c r="C42" s="52">
        <v>0.1111</v>
      </c>
      <c r="D42" s="34">
        <f t="shared" si="12"/>
        <v>0.10798075813406206</v>
      </c>
      <c r="E42" s="29">
        <f>B42*C42</f>
        <v>25365.24420026282</v>
      </c>
      <c r="F42" s="29">
        <f t="shared" si="16"/>
        <v>24653.09</v>
      </c>
      <c r="G42" s="29">
        <f t="shared" si="13"/>
        <v>712.15420026281936</v>
      </c>
      <c r="H42" s="28"/>
    </row>
    <row r="43" spans="1:10">
      <c r="A43" s="27">
        <f t="shared" si="17"/>
        <v>28</v>
      </c>
      <c r="B43" s="29">
        <f t="shared" si="14"/>
        <v>232876.2293813508</v>
      </c>
      <c r="C43" s="52">
        <v>0.1111</v>
      </c>
      <c r="D43" s="34">
        <f t="shared" si="12"/>
        <v>0.10586348836672753</v>
      </c>
      <c r="E43" s="29">
        <f t="shared" ref="E43:E48" si="18">B43*C43</f>
        <v>25872.549084268074</v>
      </c>
      <c r="F43" s="29">
        <f t="shared" si="16"/>
        <v>24653.09</v>
      </c>
      <c r="G43" s="29">
        <f t="shared" si="13"/>
        <v>1219.4590842680736</v>
      </c>
      <c r="H43" s="28"/>
    </row>
    <row r="44" spans="1:10">
      <c r="A44" s="27">
        <f t="shared" si="17"/>
        <v>29</v>
      </c>
      <c r="B44" s="29">
        <f t="shared" si="14"/>
        <v>237533.75396897784</v>
      </c>
      <c r="C44" s="52">
        <v>0.1111</v>
      </c>
      <c r="D44" s="34">
        <f t="shared" si="12"/>
        <v>0.10378773369287012</v>
      </c>
      <c r="E44" s="29">
        <f t="shared" si="18"/>
        <v>26390.000065953438</v>
      </c>
      <c r="F44" s="29">
        <f t="shared" si="16"/>
        <v>24653.09</v>
      </c>
      <c r="G44" s="29">
        <f t="shared" si="13"/>
        <v>1736.9100659534379</v>
      </c>
      <c r="H44" s="28"/>
    </row>
    <row r="45" spans="1:10">
      <c r="A45" s="27">
        <f t="shared" si="17"/>
        <v>30</v>
      </c>
      <c r="B45" s="29">
        <f t="shared" si="14"/>
        <v>242284.42904835739</v>
      </c>
      <c r="C45" s="52">
        <v>0.1111</v>
      </c>
      <c r="D45" s="34">
        <f t="shared" si="12"/>
        <v>0.10175268009104912</v>
      </c>
      <c r="E45" s="29">
        <f t="shared" si="18"/>
        <v>26917.800067272507</v>
      </c>
      <c r="F45" s="29">
        <f t="shared" si="16"/>
        <v>24653.09</v>
      </c>
      <c r="G45" s="29">
        <f t="shared" si="13"/>
        <v>2264.7100672725064</v>
      </c>
      <c r="H45" s="28"/>
    </row>
    <row r="46" spans="1:10">
      <c r="A46" s="27">
        <f t="shared" si="17"/>
        <v>31</v>
      </c>
      <c r="B46" s="29">
        <f t="shared" si="14"/>
        <v>247130.11762932455</v>
      </c>
      <c r="C46" s="52">
        <v>0.1111</v>
      </c>
      <c r="D46" s="34">
        <f t="shared" si="12"/>
        <v>9.975752950102855E-2</v>
      </c>
      <c r="E46" s="29">
        <f t="shared" si="18"/>
        <v>27456.156068617958</v>
      </c>
      <c r="F46" s="29">
        <f t="shared" si="16"/>
        <v>24653.09</v>
      </c>
      <c r="G46" s="29">
        <f t="shared" si="13"/>
        <v>2803.0660686179581</v>
      </c>
      <c r="H46" s="28"/>
    </row>
    <row r="47" spans="1:10">
      <c r="A47" s="27">
        <f t="shared" si="17"/>
        <v>32</v>
      </c>
      <c r="B47" s="29">
        <f t="shared" si="14"/>
        <v>252072.71998191104</v>
      </c>
      <c r="C47" s="52">
        <v>0.1111</v>
      </c>
      <c r="D47" s="34">
        <f t="shared" si="12"/>
        <v>9.7801499510812309E-2</v>
      </c>
      <c r="E47" s="29">
        <f t="shared" si="18"/>
        <v>28005.279189990317</v>
      </c>
      <c r="F47" s="29">
        <f t="shared" si="16"/>
        <v>24653.09</v>
      </c>
      <c r="G47" s="29">
        <f t="shared" si="13"/>
        <v>3352.1891899903167</v>
      </c>
      <c r="H47" s="28"/>
    </row>
    <row r="48" spans="1:10">
      <c r="A48" s="27">
        <f t="shared" si="17"/>
        <v>33</v>
      </c>
      <c r="B48" s="29">
        <f t="shared" si="14"/>
        <v>257114.17438154927</v>
      </c>
      <c r="C48" s="52">
        <v>0.1111</v>
      </c>
      <c r="D48" s="34">
        <f t="shared" si="12"/>
        <v>9.5883823049815992E-2</v>
      </c>
      <c r="E48" s="29">
        <f t="shared" si="18"/>
        <v>28565.384773790123</v>
      </c>
      <c r="F48" s="29">
        <f t="shared" si="16"/>
        <v>24653.09</v>
      </c>
      <c r="G48" s="29">
        <f t="shared" si="13"/>
        <v>3912.2947737901231</v>
      </c>
      <c r="H48" s="28"/>
    </row>
    <row r="49" spans="1:8">
      <c r="A49" s="80" t="s">
        <v>81</v>
      </c>
      <c r="B49" s="80"/>
      <c r="C49" s="80"/>
      <c r="D49" s="80"/>
    </row>
    <row r="52" spans="1:8">
      <c r="A52" s="139" t="s">
        <v>88</v>
      </c>
      <c r="B52" s="139"/>
      <c r="C52" s="139"/>
      <c r="D52" s="139"/>
      <c r="E52" s="139"/>
      <c r="F52" s="139"/>
      <c r="G52" s="139"/>
      <c r="H52" s="139"/>
    </row>
    <row r="53" spans="1:8" ht="27" customHeight="1">
      <c r="A53" s="139"/>
      <c r="B53" s="139"/>
      <c r="C53" s="139"/>
      <c r="D53" s="139"/>
      <c r="E53" s="139"/>
      <c r="F53" s="139"/>
      <c r="G53" s="139"/>
      <c r="H53" s="139"/>
    </row>
  </sheetData>
  <sheetProtection selectLockedCells="1"/>
  <mergeCells count="25">
    <mergeCell ref="A8:H8"/>
    <mergeCell ref="A9:A10"/>
    <mergeCell ref="B9:B10"/>
    <mergeCell ref="C9:C10"/>
    <mergeCell ref="D9:D10"/>
    <mergeCell ref="E9:E10"/>
    <mergeCell ref="F9:F10"/>
    <mergeCell ref="H9:H10"/>
    <mergeCell ref="A22:H22"/>
    <mergeCell ref="A23:A24"/>
    <mergeCell ref="B23:B24"/>
    <mergeCell ref="C23:C24"/>
    <mergeCell ref="D23:D24"/>
    <mergeCell ref="E23:E24"/>
    <mergeCell ref="F23:F24"/>
    <mergeCell ref="H23:H24"/>
    <mergeCell ref="A52:H53"/>
    <mergeCell ref="A36:H36"/>
    <mergeCell ref="A37:A38"/>
    <mergeCell ref="B37:B38"/>
    <mergeCell ref="C37:C38"/>
    <mergeCell ref="D37:D38"/>
    <mergeCell ref="E37:E38"/>
    <mergeCell ref="F37:F38"/>
    <mergeCell ref="H37:H38"/>
  </mergeCells>
  <dataValidations count="1">
    <dataValidation type="list" allowBlank="1" showInputMessage="1" showErrorMessage="1" sqref="E3" xr:uid="{CF6B5E5F-24D0-47E8-88AE-49620F0E0BA2}">
      <formula1>"January, February, March, April, May, June, July, August, September, October, November, December"</formula1>
    </dataValidation>
  </dataValidations>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D1626-5C13-409B-9CFF-3F4A918FDCBC}">
  <dimension ref="B2:O34"/>
  <sheetViews>
    <sheetView topLeftCell="B1" workbookViewId="0">
      <selection activeCell="L19" sqref="L19"/>
    </sheetView>
  </sheetViews>
  <sheetFormatPr defaultRowHeight="15" customHeight="1"/>
  <cols>
    <col min="2" max="4" width="13.453125" customWidth="1"/>
    <col min="5" max="5" width="16" customWidth="1"/>
    <col min="6" max="6" width="10.453125" customWidth="1"/>
    <col min="7" max="7" width="14.54296875" customWidth="1"/>
    <col min="8" max="8" width="13.36328125" customWidth="1"/>
    <col min="9" max="9" width="16.6328125" customWidth="1"/>
    <col min="10" max="10" width="14.1796875" customWidth="1"/>
    <col min="11" max="11" width="15.7265625" customWidth="1"/>
    <col min="12" max="12" width="16.81640625" customWidth="1"/>
    <col min="13" max="13" width="13.90625" customWidth="1"/>
    <col min="14" max="14" width="10.7265625" customWidth="1"/>
    <col min="15" max="15" width="14.36328125" customWidth="1"/>
  </cols>
  <sheetData>
    <row r="2" spans="2:15" ht="14.5">
      <c r="B2" t="s">
        <v>89</v>
      </c>
      <c r="I2" s="115">
        <v>45108</v>
      </c>
      <c r="J2" s="115">
        <v>45473</v>
      </c>
      <c r="K2">
        <f>(_xlfn.DAYS(J2,I2))+1</f>
        <v>366</v>
      </c>
    </row>
    <row r="3" spans="2:15" ht="47" customHeight="1" thickBot="1">
      <c r="B3" t="s">
        <v>90</v>
      </c>
      <c r="E3" s="111" t="s">
        <v>105</v>
      </c>
      <c r="F3" s="111" t="s">
        <v>110</v>
      </c>
      <c r="G3" s="111" t="s">
        <v>109</v>
      </c>
      <c r="H3" s="111" t="s">
        <v>108</v>
      </c>
      <c r="I3" s="111" t="s">
        <v>111</v>
      </c>
      <c r="J3" t="s">
        <v>106</v>
      </c>
      <c r="K3" t="s">
        <v>107</v>
      </c>
      <c r="L3" t="s">
        <v>91</v>
      </c>
      <c r="M3" s="111" t="s">
        <v>92</v>
      </c>
      <c r="N3" s="111" t="s">
        <v>93</v>
      </c>
      <c r="O3" t="s">
        <v>59</v>
      </c>
    </row>
    <row r="4" spans="2:15" ht="14.5">
      <c r="B4" t="s">
        <v>94</v>
      </c>
      <c r="C4" s="115">
        <v>45108</v>
      </c>
      <c r="D4" s="115">
        <v>45138</v>
      </c>
      <c r="E4">
        <f>(_xlfn.DAYS(D4,C4))+1</f>
        <v>31</v>
      </c>
      <c r="F4">
        <f>E17</f>
        <v>274</v>
      </c>
      <c r="G4">
        <f t="shared" ref="G4:G15" si="0">$E$17-F4</f>
        <v>0</v>
      </c>
      <c r="H4">
        <f>E4+E5+E15</f>
        <v>92</v>
      </c>
      <c r="I4">
        <v>0</v>
      </c>
      <c r="J4" s="113">
        <f>0</f>
        <v>0</v>
      </c>
      <c r="K4" s="113">
        <f>'NIH Salary Cap'!$F$6</f>
        <v>0.02</v>
      </c>
      <c r="L4" s="117">
        <f t="shared" ref="L4:L15" si="1">((F4*J4)+(G4*K4))/$E$17</f>
        <v>0</v>
      </c>
      <c r="M4" s="113">
        <v>0</v>
      </c>
      <c r="N4" s="113">
        <f>'NIH Salary Cap'!$F$6</f>
        <v>0.02</v>
      </c>
      <c r="O4" s="121">
        <f>((H4*M4)+(I4*N4))/$E$18</f>
        <v>0</v>
      </c>
    </row>
    <row r="5" spans="2:15" ht="14.5">
      <c r="B5" t="s">
        <v>95</v>
      </c>
      <c r="C5" s="115">
        <v>45139</v>
      </c>
      <c r="D5" s="115">
        <v>45169</v>
      </c>
      <c r="E5">
        <f t="shared" ref="E5:E15" si="2">(_xlfn.DAYS(D5,C5))+1</f>
        <v>31</v>
      </c>
      <c r="F5">
        <f>$E$17</f>
        <v>274</v>
      </c>
      <c r="G5">
        <f t="shared" si="0"/>
        <v>0</v>
      </c>
      <c r="H5">
        <f>E5+E15</f>
        <v>61</v>
      </c>
      <c r="I5">
        <f>E4</f>
        <v>31</v>
      </c>
      <c r="J5" s="113">
        <f>0</f>
        <v>0</v>
      </c>
      <c r="K5" s="113">
        <f>'NIH Salary Cap'!$F$6</f>
        <v>0.02</v>
      </c>
      <c r="L5" s="118">
        <f t="shared" si="1"/>
        <v>0</v>
      </c>
      <c r="M5" s="113">
        <v>0</v>
      </c>
      <c r="N5" s="113">
        <f>'NIH Salary Cap'!$F$6</f>
        <v>0.02</v>
      </c>
      <c r="O5" s="121">
        <f>((2*M5)+(1*N5))/3</f>
        <v>6.6666666666666671E-3</v>
      </c>
    </row>
    <row r="6" spans="2:15" ht="14.5">
      <c r="B6" t="s">
        <v>96</v>
      </c>
      <c r="C6" s="115">
        <v>45170</v>
      </c>
      <c r="D6" s="115">
        <v>45199</v>
      </c>
      <c r="E6">
        <f t="shared" si="2"/>
        <v>30</v>
      </c>
      <c r="F6">
        <f t="shared" ref="F6" si="3">$E$17</f>
        <v>274</v>
      </c>
      <c r="G6">
        <f t="shared" si="0"/>
        <v>0</v>
      </c>
      <c r="H6">
        <f>$E$15</f>
        <v>30</v>
      </c>
      <c r="I6">
        <f>$E$4+$E$5</f>
        <v>62</v>
      </c>
      <c r="J6" s="113">
        <f>0</f>
        <v>0</v>
      </c>
      <c r="K6" s="113">
        <f>'NIH Salary Cap'!$F$6</f>
        <v>0.02</v>
      </c>
      <c r="L6" s="118">
        <f t="shared" si="1"/>
        <v>0</v>
      </c>
      <c r="M6" s="113">
        <v>0</v>
      </c>
      <c r="N6" s="113">
        <f>'NIH Salary Cap'!$F$6</f>
        <v>0.02</v>
      </c>
      <c r="O6" s="121">
        <f>((1*M6)+(2*N6))/3</f>
        <v>1.3333333333333334E-2</v>
      </c>
    </row>
    <row r="7" spans="2:15" ht="14.5">
      <c r="B7" t="s">
        <v>97</v>
      </c>
      <c r="C7" s="115">
        <v>45200</v>
      </c>
      <c r="D7" s="115">
        <v>45230</v>
      </c>
      <c r="E7">
        <f t="shared" si="2"/>
        <v>31</v>
      </c>
      <c r="F7">
        <f>$E$17-E6</f>
        <v>244</v>
      </c>
      <c r="G7">
        <f t="shared" si="0"/>
        <v>30</v>
      </c>
      <c r="H7">
        <f t="shared" ref="H7:H14" si="4">$E$15</f>
        <v>30</v>
      </c>
      <c r="I7">
        <f t="shared" ref="I7:I15" si="5">$E$4+$E$5</f>
        <v>62</v>
      </c>
      <c r="J7" s="113">
        <f>0</f>
        <v>0</v>
      </c>
      <c r="K7" s="113">
        <f>'NIH Salary Cap'!$F$6</f>
        <v>0.02</v>
      </c>
      <c r="L7" s="119">
        <f>((F7*J7)+(G7*K7))/$E$17</f>
        <v>2.18978102189781E-3</v>
      </c>
      <c r="M7" s="113">
        <v>0</v>
      </c>
      <c r="N7" s="113">
        <f>'NIH Salary Cap'!$F$6</f>
        <v>0.02</v>
      </c>
      <c r="O7" s="121">
        <f t="shared" ref="O7:O15" si="6">((1*M7)+(2*N7))/3</f>
        <v>1.3333333333333334E-2</v>
      </c>
    </row>
    <row r="8" spans="2:15" ht="14.5">
      <c r="B8" t="s">
        <v>98</v>
      </c>
      <c r="C8" s="115">
        <v>45231</v>
      </c>
      <c r="D8" s="115">
        <v>45260</v>
      </c>
      <c r="E8">
        <f t="shared" si="2"/>
        <v>30</v>
      </c>
      <c r="F8">
        <f>F7-E7</f>
        <v>213</v>
      </c>
      <c r="G8">
        <f t="shared" si="0"/>
        <v>61</v>
      </c>
      <c r="H8">
        <f t="shared" si="4"/>
        <v>30</v>
      </c>
      <c r="I8">
        <f t="shared" si="5"/>
        <v>62</v>
      </c>
      <c r="J8" s="113">
        <f>0</f>
        <v>0</v>
      </c>
      <c r="K8" s="113">
        <f>'NIH Salary Cap'!$F$6</f>
        <v>0.02</v>
      </c>
      <c r="L8" s="119">
        <f t="shared" si="1"/>
        <v>4.4525547445255472E-3</v>
      </c>
      <c r="M8" s="113">
        <v>0</v>
      </c>
      <c r="N8" s="113">
        <f>'NIH Salary Cap'!$F$6</f>
        <v>0.02</v>
      </c>
      <c r="O8" s="121">
        <f t="shared" si="6"/>
        <v>1.3333333333333334E-2</v>
      </c>
    </row>
    <row r="9" spans="2:15" ht="14.5">
      <c r="B9" t="s">
        <v>99</v>
      </c>
      <c r="C9" s="115">
        <v>45261</v>
      </c>
      <c r="D9" s="115">
        <v>45291</v>
      </c>
      <c r="E9">
        <f t="shared" si="2"/>
        <v>31</v>
      </c>
      <c r="F9">
        <f t="shared" ref="F9:F15" si="7">F8-E8</f>
        <v>183</v>
      </c>
      <c r="G9">
        <f t="shared" si="0"/>
        <v>91</v>
      </c>
      <c r="H9">
        <f t="shared" si="4"/>
        <v>30</v>
      </c>
      <c r="I9">
        <f t="shared" si="5"/>
        <v>62</v>
      </c>
      <c r="J9" s="113">
        <f>0</f>
        <v>0</v>
      </c>
      <c r="K9" s="113">
        <f>'NIH Salary Cap'!$F$6</f>
        <v>0.02</v>
      </c>
      <c r="L9" s="119">
        <f t="shared" si="1"/>
        <v>6.642335766423358E-3</v>
      </c>
      <c r="M9" s="113">
        <v>0</v>
      </c>
      <c r="N9" s="113">
        <f>'NIH Salary Cap'!$F$6</f>
        <v>0.02</v>
      </c>
      <c r="O9" s="121">
        <f t="shared" si="6"/>
        <v>1.3333333333333334E-2</v>
      </c>
    </row>
    <row r="10" spans="2:15" ht="14.5">
      <c r="B10" t="s">
        <v>58</v>
      </c>
      <c r="C10" s="115">
        <v>45292</v>
      </c>
      <c r="D10" s="115">
        <v>45322</v>
      </c>
      <c r="E10">
        <f t="shared" si="2"/>
        <v>31</v>
      </c>
      <c r="F10">
        <f t="shared" si="7"/>
        <v>152</v>
      </c>
      <c r="G10">
        <f t="shared" si="0"/>
        <v>122</v>
      </c>
      <c r="H10">
        <f t="shared" si="4"/>
        <v>30</v>
      </c>
      <c r="I10">
        <f t="shared" si="5"/>
        <v>62</v>
      </c>
      <c r="J10" s="113">
        <f>0</f>
        <v>0</v>
      </c>
      <c r="K10" s="113">
        <f>'NIH Salary Cap'!$F$6</f>
        <v>0.02</v>
      </c>
      <c r="L10" s="119">
        <f t="shared" si="1"/>
        <v>8.9051094890510944E-3</v>
      </c>
      <c r="M10" s="113">
        <v>0</v>
      </c>
      <c r="N10" s="113">
        <f>'NIH Salary Cap'!$F$6</f>
        <v>0.02</v>
      </c>
      <c r="O10" s="121">
        <f t="shared" si="6"/>
        <v>1.3333333333333334E-2</v>
      </c>
    </row>
    <row r="11" spans="2:15" ht="14.5">
      <c r="B11" t="s">
        <v>100</v>
      </c>
      <c r="C11" s="115">
        <v>45323</v>
      </c>
      <c r="D11" s="115">
        <v>45351</v>
      </c>
      <c r="E11">
        <f t="shared" si="2"/>
        <v>29</v>
      </c>
      <c r="F11">
        <f t="shared" si="7"/>
        <v>121</v>
      </c>
      <c r="G11">
        <f t="shared" si="0"/>
        <v>153</v>
      </c>
      <c r="H11">
        <f t="shared" si="4"/>
        <v>30</v>
      </c>
      <c r="I11">
        <f t="shared" si="5"/>
        <v>62</v>
      </c>
      <c r="J11" s="113">
        <f>0</f>
        <v>0</v>
      </c>
      <c r="K11" s="113">
        <f>'NIH Salary Cap'!$F$6</f>
        <v>0.02</v>
      </c>
      <c r="L11" s="119">
        <f t="shared" si="1"/>
        <v>1.1167883211678832E-2</v>
      </c>
      <c r="M11" s="113">
        <v>0</v>
      </c>
      <c r="N11" s="113">
        <f>'NIH Salary Cap'!$F$6</f>
        <v>0.02</v>
      </c>
      <c r="O11" s="121">
        <f t="shared" si="6"/>
        <v>1.3333333333333334E-2</v>
      </c>
    </row>
    <row r="12" spans="2:15" ht="14.5">
      <c r="B12" t="s">
        <v>101</v>
      </c>
      <c r="C12" s="115">
        <v>45352</v>
      </c>
      <c r="D12" s="115">
        <v>45382</v>
      </c>
      <c r="E12">
        <f t="shared" si="2"/>
        <v>31</v>
      </c>
      <c r="F12">
        <f t="shared" si="7"/>
        <v>92</v>
      </c>
      <c r="G12">
        <f t="shared" si="0"/>
        <v>182</v>
      </c>
      <c r="H12">
        <f t="shared" si="4"/>
        <v>30</v>
      </c>
      <c r="I12">
        <f t="shared" si="5"/>
        <v>62</v>
      </c>
      <c r="J12" s="113">
        <f>0</f>
        <v>0</v>
      </c>
      <c r="K12" s="113">
        <f>'NIH Salary Cap'!$F$6</f>
        <v>0.02</v>
      </c>
      <c r="L12" s="119">
        <f t="shared" si="1"/>
        <v>1.3284671532846716E-2</v>
      </c>
      <c r="M12" s="113">
        <v>0</v>
      </c>
      <c r="N12" s="113">
        <f>'NIH Salary Cap'!$F$6</f>
        <v>0.02</v>
      </c>
      <c r="O12" s="121">
        <f t="shared" si="6"/>
        <v>1.3333333333333334E-2</v>
      </c>
    </row>
    <row r="13" spans="2:15" ht="14.5">
      <c r="B13" t="s">
        <v>102</v>
      </c>
      <c r="C13" s="115">
        <v>45383</v>
      </c>
      <c r="D13" s="115">
        <v>45412</v>
      </c>
      <c r="E13">
        <f t="shared" si="2"/>
        <v>30</v>
      </c>
      <c r="F13">
        <f t="shared" si="7"/>
        <v>61</v>
      </c>
      <c r="G13">
        <f t="shared" si="0"/>
        <v>213</v>
      </c>
      <c r="H13">
        <f t="shared" si="4"/>
        <v>30</v>
      </c>
      <c r="I13">
        <f t="shared" si="5"/>
        <v>62</v>
      </c>
      <c r="J13" s="113">
        <f>0</f>
        <v>0</v>
      </c>
      <c r="K13" s="113">
        <f>'NIH Salary Cap'!$F$6</f>
        <v>0.02</v>
      </c>
      <c r="L13" s="119">
        <f t="shared" si="1"/>
        <v>1.5547445255474452E-2</v>
      </c>
      <c r="M13" s="113">
        <v>0</v>
      </c>
      <c r="N13" s="113">
        <f>'NIH Salary Cap'!$F$6</f>
        <v>0.02</v>
      </c>
      <c r="O13" s="121">
        <f t="shared" si="6"/>
        <v>1.3333333333333334E-2</v>
      </c>
    </row>
    <row r="14" spans="2:15" ht="14.5">
      <c r="B14" t="s">
        <v>103</v>
      </c>
      <c r="C14" s="115">
        <v>45413</v>
      </c>
      <c r="D14" s="115">
        <v>45443</v>
      </c>
      <c r="E14">
        <f t="shared" si="2"/>
        <v>31</v>
      </c>
      <c r="F14">
        <f t="shared" si="7"/>
        <v>31</v>
      </c>
      <c r="G14">
        <f t="shared" si="0"/>
        <v>243</v>
      </c>
      <c r="H14">
        <f t="shared" si="4"/>
        <v>30</v>
      </c>
      <c r="I14">
        <f t="shared" si="5"/>
        <v>62</v>
      </c>
      <c r="J14" s="113">
        <f>0</f>
        <v>0</v>
      </c>
      <c r="K14" s="113">
        <f>'NIH Salary Cap'!$F$6</f>
        <v>0.02</v>
      </c>
      <c r="L14" s="119">
        <f t="shared" si="1"/>
        <v>1.7737226277372262E-2</v>
      </c>
      <c r="M14" s="113">
        <v>0</v>
      </c>
      <c r="N14" s="113">
        <f>'NIH Salary Cap'!$F$6</f>
        <v>0.02</v>
      </c>
      <c r="O14" s="121">
        <f t="shared" si="6"/>
        <v>1.3333333333333334E-2</v>
      </c>
    </row>
    <row r="15" spans="2:15" thickBot="1">
      <c r="B15" t="s">
        <v>104</v>
      </c>
      <c r="C15" s="115">
        <v>45444</v>
      </c>
      <c r="D15" s="115">
        <v>45473</v>
      </c>
      <c r="E15" s="75">
        <f t="shared" si="2"/>
        <v>30</v>
      </c>
      <c r="F15">
        <f t="shared" si="7"/>
        <v>0</v>
      </c>
      <c r="G15">
        <f t="shared" si="0"/>
        <v>274</v>
      </c>
      <c r="H15">
        <f>E15</f>
        <v>30</v>
      </c>
      <c r="I15">
        <f t="shared" si="5"/>
        <v>62</v>
      </c>
      <c r="J15" s="113">
        <f>0</f>
        <v>0</v>
      </c>
      <c r="K15" s="113">
        <f>'NIH Salary Cap'!$F$6</f>
        <v>0.02</v>
      </c>
      <c r="L15" s="120">
        <f t="shared" si="1"/>
        <v>0.02</v>
      </c>
      <c r="M15" s="113">
        <v>0</v>
      </c>
      <c r="N15" s="113">
        <f>'NIH Salary Cap'!$F$6</f>
        <v>0.02</v>
      </c>
      <c r="O15" s="121">
        <f t="shared" si="6"/>
        <v>1.3333333333333334E-2</v>
      </c>
    </row>
    <row r="16" spans="2:15" ht="15" customHeight="1">
      <c r="E16">
        <f>SUM(E4:E15)</f>
        <v>366</v>
      </c>
    </row>
    <row r="17" spans="2:10" ht="15" customHeight="1">
      <c r="B17" t="s">
        <v>112</v>
      </c>
      <c r="E17">
        <f>E16-E4-E5-E15</f>
        <v>274</v>
      </c>
    </row>
    <row r="18" spans="2:10" ht="15" customHeight="1">
      <c r="B18" t="s">
        <v>113</v>
      </c>
      <c r="E18">
        <f>E4+E5+E15</f>
        <v>92</v>
      </c>
    </row>
    <row r="19" spans="2:10" ht="15" customHeight="1">
      <c r="I19" s="121"/>
    </row>
    <row r="20" spans="2:10" ht="0.5" customHeight="1"/>
    <row r="21" spans="2:10" ht="33" customHeight="1" thickBot="1">
      <c r="B21" t="s">
        <v>90</v>
      </c>
      <c r="E21" s="111" t="s">
        <v>105</v>
      </c>
      <c r="F21" s="111" t="s">
        <v>126</v>
      </c>
      <c r="G21" s="111" t="s">
        <v>127</v>
      </c>
      <c r="H21" t="s">
        <v>128</v>
      </c>
      <c r="I21" t="s">
        <v>129</v>
      </c>
      <c r="J21" t="s">
        <v>130</v>
      </c>
    </row>
    <row r="22" spans="2:10" ht="15" customHeight="1" thickBot="1">
      <c r="B22" t="s">
        <v>94</v>
      </c>
      <c r="C22" s="115">
        <v>45108</v>
      </c>
      <c r="D22" s="115">
        <v>45138</v>
      </c>
      <c r="E22">
        <f>(_xlfn.DAYS(D22,C22))+1</f>
        <v>31</v>
      </c>
      <c r="F22">
        <f>$E$34</f>
        <v>366</v>
      </c>
      <c r="G22">
        <f>$E$34-F22</f>
        <v>0</v>
      </c>
      <c r="H22" s="113">
        <f>0</f>
        <v>0</v>
      </c>
      <c r="I22" s="113">
        <f>'NIH Salary Cap'!$F$6</f>
        <v>0.02</v>
      </c>
      <c r="J22" s="117">
        <f>((F22*H22)+(G22*I22))/$E$34</f>
        <v>0</v>
      </c>
    </row>
    <row r="23" spans="2:10" ht="15" customHeight="1" thickBot="1">
      <c r="B23" t="s">
        <v>95</v>
      </c>
      <c r="C23" s="115">
        <v>45139</v>
      </c>
      <c r="D23" s="115">
        <v>45169</v>
      </c>
      <c r="E23">
        <f t="shared" ref="E23:E33" si="8">(_xlfn.DAYS(D23,C23))+1</f>
        <v>31</v>
      </c>
      <c r="F23">
        <f>F22-E22</f>
        <v>335</v>
      </c>
      <c r="G23">
        <f t="shared" ref="G23:G33" si="9">$E$34-F23</f>
        <v>31</v>
      </c>
      <c r="H23" s="113">
        <f>0</f>
        <v>0</v>
      </c>
      <c r="I23" s="113">
        <f>'NIH Salary Cap'!$F$6</f>
        <v>0.02</v>
      </c>
      <c r="J23" s="117">
        <f t="shared" ref="J23:J33" si="10">((F23*H23)+(G23*I23))/$E$34</f>
        <v>1.6939890710382514E-3</v>
      </c>
    </row>
    <row r="24" spans="2:10" ht="15" customHeight="1" thickBot="1">
      <c r="B24" t="s">
        <v>96</v>
      </c>
      <c r="C24" s="115">
        <v>45170</v>
      </c>
      <c r="D24" s="115">
        <v>45199</v>
      </c>
      <c r="E24">
        <f t="shared" si="8"/>
        <v>30</v>
      </c>
      <c r="F24">
        <f t="shared" ref="F24:F33" si="11">F23-E23</f>
        <v>304</v>
      </c>
      <c r="G24">
        <f t="shared" si="9"/>
        <v>62</v>
      </c>
      <c r="H24" s="113">
        <f>0</f>
        <v>0</v>
      </c>
      <c r="I24" s="113">
        <f>'NIH Salary Cap'!$F$6</f>
        <v>0.02</v>
      </c>
      <c r="J24" s="117">
        <f t="shared" si="10"/>
        <v>3.3879781420765027E-3</v>
      </c>
    </row>
    <row r="25" spans="2:10" ht="15" customHeight="1" thickBot="1">
      <c r="B25" t="s">
        <v>97</v>
      </c>
      <c r="C25" s="115">
        <v>45200</v>
      </c>
      <c r="D25" s="115">
        <v>45230</v>
      </c>
      <c r="E25">
        <f t="shared" si="8"/>
        <v>31</v>
      </c>
      <c r="F25">
        <f t="shared" si="11"/>
        <v>274</v>
      </c>
      <c r="G25">
        <f t="shared" si="9"/>
        <v>92</v>
      </c>
      <c r="H25" s="113">
        <f>0</f>
        <v>0</v>
      </c>
      <c r="I25" s="113">
        <f>'NIH Salary Cap'!$F$6</f>
        <v>0.02</v>
      </c>
      <c r="J25" s="117">
        <f t="shared" si="10"/>
        <v>5.0273224043715847E-3</v>
      </c>
    </row>
    <row r="26" spans="2:10" ht="15" customHeight="1" thickBot="1">
      <c r="B26" t="s">
        <v>98</v>
      </c>
      <c r="C26" s="115">
        <v>45231</v>
      </c>
      <c r="D26" s="115">
        <v>45260</v>
      </c>
      <c r="E26">
        <f t="shared" si="8"/>
        <v>30</v>
      </c>
      <c r="F26">
        <f t="shared" si="11"/>
        <v>243</v>
      </c>
      <c r="G26">
        <f t="shared" si="9"/>
        <v>123</v>
      </c>
      <c r="H26" s="113">
        <f>0</f>
        <v>0</v>
      </c>
      <c r="I26" s="113">
        <f>'NIH Salary Cap'!$F$6</f>
        <v>0.02</v>
      </c>
      <c r="J26" s="117">
        <f t="shared" si="10"/>
        <v>6.7213114754098363E-3</v>
      </c>
    </row>
    <row r="27" spans="2:10" ht="15" customHeight="1" thickBot="1">
      <c r="B27" t="s">
        <v>99</v>
      </c>
      <c r="C27" s="115">
        <v>45261</v>
      </c>
      <c r="D27" s="115">
        <v>45291</v>
      </c>
      <c r="E27">
        <f t="shared" si="8"/>
        <v>31</v>
      </c>
      <c r="F27">
        <f t="shared" si="11"/>
        <v>213</v>
      </c>
      <c r="G27">
        <f t="shared" si="9"/>
        <v>153</v>
      </c>
      <c r="H27" s="113">
        <f>0</f>
        <v>0</v>
      </c>
      <c r="I27" s="113">
        <f>'NIH Salary Cap'!$F$6</f>
        <v>0.02</v>
      </c>
      <c r="J27" s="117">
        <f t="shared" si="10"/>
        <v>8.3606557377049178E-3</v>
      </c>
    </row>
    <row r="28" spans="2:10" ht="15" customHeight="1" thickBot="1">
      <c r="B28" t="s">
        <v>58</v>
      </c>
      <c r="C28" s="115">
        <v>45292</v>
      </c>
      <c r="D28" s="115">
        <v>45322</v>
      </c>
      <c r="E28">
        <f t="shared" si="8"/>
        <v>31</v>
      </c>
      <c r="F28">
        <f t="shared" si="11"/>
        <v>182</v>
      </c>
      <c r="G28">
        <f t="shared" si="9"/>
        <v>184</v>
      </c>
      <c r="H28" s="113">
        <f>0</f>
        <v>0</v>
      </c>
      <c r="I28" s="113">
        <f>'NIH Salary Cap'!$F$6</f>
        <v>0.02</v>
      </c>
      <c r="J28" s="117">
        <f t="shared" si="10"/>
        <v>1.0054644808743169E-2</v>
      </c>
    </row>
    <row r="29" spans="2:10" ht="15" customHeight="1" thickBot="1">
      <c r="B29" t="s">
        <v>100</v>
      </c>
      <c r="C29" s="115">
        <v>45323</v>
      </c>
      <c r="D29" s="115">
        <v>45351</v>
      </c>
      <c r="E29">
        <f t="shared" si="8"/>
        <v>29</v>
      </c>
      <c r="F29">
        <f t="shared" si="11"/>
        <v>151</v>
      </c>
      <c r="G29">
        <f t="shared" si="9"/>
        <v>215</v>
      </c>
      <c r="H29" s="113">
        <f>0</f>
        <v>0</v>
      </c>
      <c r="I29" s="113">
        <f>'NIH Salary Cap'!$F$6</f>
        <v>0.02</v>
      </c>
      <c r="J29" s="117">
        <f t="shared" si="10"/>
        <v>1.1748633879781421E-2</v>
      </c>
    </row>
    <row r="30" spans="2:10" ht="15" customHeight="1" thickBot="1">
      <c r="B30" t="s">
        <v>101</v>
      </c>
      <c r="C30" s="115">
        <v>45352</v>
      </c>
      <c r="D30" s="115">
        <v>45382</v>
      </c>
      <c r="E30">
        <f t="shared" si="8"/>
        <v>31</v>
      </c>
      <c r="F30">
        <f t="shared" si="11"/>
        <v>122</v>
      </c>
      <c r="G30">
        <f t="shared" si="9"/>
        <v>244</v>
      </c>
      <c r="H30" s="113">
        <f>0</f>
        <v>0</v>
      </c>
      <c r="I30" s="113">
        <f>'NIH Salary Cap'!$F$6</f>
        <v>0.02</v>
      </c>
      <c r="J30" s="117">
        <f t="shared" si="10"/>
        <v>1.3333333333333332E-2</v>
      </c>
    </row>
    <row r="31" spans="2:10" ht="15" customHeight="1" thickBot="1">
      <c r="B31" t="s">
        <v>102</v>
      </c>
      <c r="C31" s="115">
        <v>45383</v>
      </c>
      <c r="D31" s="115">
        <v>45412</v>
      </c>
      <c r="E31">
        <f t="shared" si="8"/>
        <v>30</v>
      </c>
      <c r="F31">
        <f t="shared" si="11"/>
        <v>91</v>
      </c>
      <c r="G31">
        <f t="shared" si="9"/>
        <v>275</v>
      </c>
      <c r="H31" s="113">
        <f>0</f>
        <v>0</v>
      </c>
      <c r="I31" s="113">
        <f>'NIH Salary Cap'!$F$6</f>
        <v>0.02</v>
      </c>
      <c r="J31" s="117">
        <f t="shared" si="10"/>
        <v>1.5027322404371584E-2</v>
      </c>
    </row>
    <row r="32" spans="2:10" ht="15" customHeight="1" thickBot="1">
      <c r="B32" t="s">
        <v>103</v>
      </c>
      <c r="C32" s="115">
        <v>45413</v>
      </c>
      <c r="D32" s="115">
        <v>45443</v>
      </c>
      <c r="E32">
        <f t="shared" si="8"/>
        <v>31</v>
      </c>
      <c r="F32">
        <f t="shared" si="11"/>
        <v>61</v>
      </c>
      <c r="G32">
        <f t="shared" si="9"/>
        <v>305</v>
      </c>
      <c r="H32" s="113">
        <f>0</f>
        <v>0</v>
      </c>
      <c r="I32" s="113">
        <f>'NIH Salary Cap'!$F$6</f>
        <v>0.02</v>
      </c>
      <c r="J32" s="117">
        <f t="shared" si="10"/>
        <v>1.6666666666666666E-2</v>
      </c>
    </row>
    <row r="33" spans="2:10" ht="15" customHeight="1">
      <c r="B33" t="s">
        <v>104</v>
      </c>
      <c r="C33" s="115">
        <v>45444</v>
      </c>
      <c r="D33" s="115">
        <v>45473</v>
      </c>
      <c r="E33" s="75">
        <f t="shared" si="8"/>
        <v>30</v>
      </c>
      <c r="F33">
        <f t="shared" si="11"/>
        <v>30</v>
      </c>
      <c r="G33">
        <f t="shared" si="9"/>
        <v>336</v>
      </c>
      <c r="H33" s="113">
        <f>0</f>
        <v>0</v>
      </c>
      <c r="I33" s="113">
        <f>'NIH Salary Cap'!$F$6</f>
        <v>0.02</v>
      </c>
      <c r="J33" s="117">
        <f t="shared" si="10"/>
        <v>1.8360655737704918E-2</v>
      </c>
    </row>
    <row r="34" spans="2:10" ht="15" customHeight="1">
      <c r="B34" t="s">
        <v>125</v>
      </c>
      <c r="E34">
        <f>SUM(E22:E33)</f>
        <v>366</v>
      </c>
    </row>
  </sheetData>
  <sheetProtection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C0C2D073B57C4BA6DD00CAE15DB055" ma:contentTypeVersion="13" ma:contentTypeDescription="Create a new document." ma:contentTypeScope="" ma:versionID="7e7172a881669cb3f49e1b641baba85b">
  <xsd:schema xmlns:xsd="http://www.w3.org/2001/XMLSchema" xmlns:xs="http://www.w3.org/2001/XMLSchema" xmlns:p="http://schemas.microsoft.com/office/2006/metadata/properties" xmlns:ns3="ba69ee57-497c-40ec-885a-dc027a8fa7d9" xmlns:ns4="55d47017-2ce7-4322-b7c0-81e027266bbd" targetNamespace="http://schemas.microsoft.com/office/2006/metadata/properties" ma:root="true" ma:fieldsID="65287e2efbba4a95d5acb9f0280c75da" ns3:_="" ns4:_="">
    <xsd:import namespace="ba69ee57-497c-40ec-885a-dc027a8fa7d9"/>
    <xsd:import namespace="55d47017-2ce7-4322-b7c0-81e027266b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9ee57-497c-40ec-885a-dc027a8fa7d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d47017-2ce7-4322-b7c0-81e027266b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D4EDC-08ED-47C8-B514-1C5F9D901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9ee57-497c-40ec-885a-dc027a8fa7d9"/>
    <ds:schemaRef ds:uri="55d47017-2ce7-4322-b7c0-81e027266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103149-254F-475A-BA28-985AFAAF4BC6}">
  <ds:schemaRefs>
    <ds:schemaRef ds:uri="http://schemas.microsoft.com/sharepoint/v3/contenttype/forms"/>
  </ds:schemaRefs>
</ds:datastoreItem>
</file>

<file path=customXml/itemProps3.xml><?xml version="1.0" encoding="utf-8"?>
<ds:datastoreItem xmlns:ds="http://schemas.openxmlformats.org/officeDocument/2006/customXml" ds:itemID="{C0E7BEA5-A882-4784-AF4E-40F8F1F913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Salary Guide </vt:lpstr>
      <vt:lpstr>COLA Array (Salary Guide)</vt:lpstr>
      <vt:lpstr>Grad Calculator</vt:lpstr>
      <vt:lpstr>COLA Array Grad</vt:lpstr>
      <vt:lpstr>NIH Salary Cap</vt:lpstr>
      <vt:lpstr>COLA Array NIH</vt:lpstr>
    </vt:vector>
  </TitlesOfParts>
  <Manager/>
  <Company>UMass Amherst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Raphael</dc:creator>
  <cp:keywords/>
  <dc:description/>
  <cp:lastModifiedBy>Sarah Vega-Liros</cp:lastModifiedBy>
  <cp:revision/>
  <cp:lastPrinted>2024-01-17T17:09:14Z</cp:lastPrinted>
  <dcterms:created xsi:type="dcterms:W3CDTF">2019-03-06T13:07:47Z</dcterms:created>
  <dcterms:modified xsi:type="dcterms:W3CDTF">2024-02-02T15:52:20Z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0x010100BFC0C2D073B57C4BA6DD00CAE15DB055</vt:lpwstr>
  </property>
</Properties>
</file>